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2390" windowHeight="8835" tabRatio="391" activeTab="0"/>
  </bookViews>
  <sheets>
    <sheet name="Dateneingabe" sheetId="1" r:id="rId1"/>
    <sheet name="Ergebnisse" sheetId="2" r:id="rId2"/>
    <sheet name="Diagramme" sheetId="3" r:id="rId3"/>
    <sheet name="Datenbasis" sheetId="4" r:id="rId4"/>
  </sheets>
  <definedNames>
    <definedName name="BOben">'Datenbasis'!$K$2</definedName>
    <definedName name="BUnten">'Datenbasis'!$K$3</definedName>
    <definedName name="_xlnm.Print_Area" localSheetId="0">'Dateneingabe'!$A$1:$K$56</definedName>
    <definedName name="_xlnm.Print_Area" localSheetId="1">'Ergebnisse'!$A$1:$K$35</definedName>
    <definedName name="GDicke">'Datenbasis'!$R$2</definedName>
    <definedName name="ROben">'Datenbasis'!$M$2</definedName>
    <definedName name="RUnten">'Datenbasis'!$M$3</definedName>
  </definedNames>
  <calcPr fullCalcOnLoad="1"/>
</workbook>
</file>

<file path=xl/comments1.xml><?xml version="1.0" encoding="utf-8"?>
<comments xmlns="http://schemas.openxmlformats.org/spreadsheetml/2006/main">
  <authors>
    <author>goettsche</author>
  </authors>
  <commentList>
    <comment ref="F53" authorId="0">
      <text>
        <r>
          <rPr>
            <b/>
            <sz val="8"/>
            <rFont val="Tahoma"/>
            <family val="2"/>
          </rPr>
          <t>Anzahl der Schichten für Gurt/Flansch</t>
        </r>
        <r>
          <rPr>
            <sz val="8"/>
            <rFont val="Tahoma"/>
            <family val="2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2"/>
          </rPr>
          <t>Anzahl der Schichten in der Voute</t>
        </r>
        <r>
          <rPr>
            <sz val="8"/>
            <rFont val="Tahoma"/>
            <family val="2"/>
          </rPr>
          <t xml:space="preserve">
</t>
        </r>
      </text>
    </comment>
    <comment ref="F61" authorId="0">
      <text>
        <r>
          <rPr>
            <b/>
            <sz val="8"/>
            <rFont val="Tahoma"/>
            <family val="2"/>
          </rPr>
          <t>Anzahl der Schichten im verbleibenden rechteckigen Stegbereich mit der Breite b_w</t>
        </r>
        <r>
          <rPr>
            <sz val="8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8"/>
            <rFont val="Tahoma"/>
            <family val="2"/>
          </rPr>
          <t>Gesamtzahl aller Schichten in der Druckzone. Die max. Höhe der Druckzone wird durch das vorgegebene lim(x/d) bestimmt. Sollte die Anzahl der Schichten (hier also 100) erhöht werden, so ist eine größere Anpassung im Tabellenblatt "Datenbasis" vorzunehmen.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goettsche</author>
  </authors>
  <commentList>
    <comment ref="E38" authorId="0">
      <text>
        <r>
          <rPr>
            <b/>
            <sz val="8"/>
            <rFont val="Tahoma"/>
            <family val="2"/>
          </rPr>
          <t>goettsche:</t>
        </r>
        <r>
          <rPr>
            <sz val="8"/>
            <rFont val="Tahoma"/>
            <family val="2"/>
          </rPr>
          <t xml:space="preserve">
Grenze aus rechentechnischen Gründen auf -2,2001 erhöht</t>
        </r>
      </text>
    </comment>
  </commentList>
</comments>
</file>

<file path=xl/sharedStrings.xml><?xml version="1.0" encoding="utf-8"?>
<sst xmlns="http://schemas.openxmlformats.org/spreadsheetml/2006/main" count="429" uniqueCount="307">
  <si>
    <t>[kN]</t>
  </si>
  <si>
    <t>[kNm]</t>
  </si>
  <si>
    <t>[cm²]</t>
  </si>
  <si>
    <t>eps_c2</t>
  </si>
  <si>
    <t>eps_s1</t>
  </si>
  <si>
    <t>x/d</t>
  </si>
  <si>
    <t>alpha_r</t>
  </si>
  <si>
    <t>z/d</t>
  </si>
  <si>
    <t>Dateneingabe</t>
  </si>
  <si>
    <t>weiter</t>
  </si>
  <si>
    <t>Teilsicherheitsbeiwert</t>
  </si>
  <si>
    <t>Beiwert für Bauteileigenschaften</t>
  </si>
  <si>
    <t>gam_c =</t>
  </si>
  <si>
    <t>Beiwert für Beton</t>
  </si>
  <si>
    <t>[ 1 ]</t>
  </si>
  <si>
    <t>gam_s =</t>
  </si>
  <si>
    <t>Beiwert für Betonstahl</t>
  </si>
  <si>
    <t>Betonfestigkeitsklasse</t>
  </si>
  <si>
    <t>Parameter der Spannungs-Dehnungslinie des Betons</t>
  </si>
  <si>
    <t>f_cd =</t>
  </si>
  <si>
    <t>Bemessungswert für die Druckfestigkeit</t>
  </si>
  <si>
    <t>[kN/cm²]</t>
  </si>
  <si>
    <t>Betondehnung bei Erreichen von f_cd</t>
  </si>
  <si>
    <t>[o/oo]</t>
  </si>
  <si>
    <t>Grenzdehnung am Druckrand</t>
  </si>
  <si>
    <t>n =</t>
  </si>
  <si>
    <t>Fülligkeitsbeiwert für Parabelfunktion</t>
  </si>
  <si>
    <t>Betonstahlgüte</t>
  </si>
  <si>
    <t>Parameter der Spannungs-Dehnungslinie des Betonstahls</t>
  </si>
  <si>
    <t>f_yd =</t>
  </si>
  <si>
    <t>Bemessungswert für die Streckgrenze</t>
  </si>
  <si>
    <t>f_td =</t>
  </si>
  <si>
    <t xml:space="preserve">Bemessungswert für die Zugfestigkeit </t>
  </si>
  <si>
    <t>E_s =</t>
  </si>
  <si>
    <t>Betonart</t>
  </si>
  <si>
    <t>Stahllinie</t>
  </si>
  <si>
    <t>Querschnitt</t>
  </si>
  <si>
    <t>in [cm]</t>
  </si>
  <si>
    <t>Lage</t>
  </si>
  <si>
    <t>h =</t>
  </si>
  <si>
    <t>Normalb. = 1</t>
  </si>
  <si>
    <t>Lin. I/II = 1/2</t>
  </si>
  <si>
    <t>Leichtb. = 2</t>
  </si>
  <si>
    <t>d =</t>
  </si>
  <si>
    <t>Kombinationsauswahl</t>
  </si>
  <si>
    <t>Kombination</t>
  </si>
  <si>
    <t>gam_c</t>
  </si>
  <si>
    <t>gam_s</t>
  </si>
  <si>
    <t>Grundkombination</t>
  </si>
  <si>
    <t>Außergewöhnl. Kombination</t>
  </si>
  <si>
    <t>Stahlparameter</t>
  </si>
  <si>
    <t>Stahlgüte</t>
  </si>
  <si>
    <t>f_yk</t>
  </si>
  <si>
    <t>f_tk</t>
  </si>
  <si>
    <t>f_yd</t>
  </si>
  <si>
    <t>f_td</t>
  </si>
  <si>
    <t>eps_yk</t>
  </si>
  <si>
    <t>eps_yd</t>
  </si>
  <si>
    <t>BSt 500 SA</t>
  </si>
  <si>
    <t>eps_c</t>
  </si>
  <si>
    <t>BSt 500 MA</t>
  </si>
  <si>
    <t>Parabel-Rechteck-Diagramm (Normalbeton)</t>
  </si>
  <si>
    <t>Betongüte</t>
  </si>
  <si>
    <t>f_ck</t>
  </si>
  <si>
    <t>eps_c2u</t>
  </si>
  <si>
    <t>n</t>
  </si>
  <si>
    <t>f_cd</t>
  </si>
  <si>
    <t>C 12/15</t>
  </si>
  <si>
    <t>C 16/20</t>
  </si>
  <si>
    <t>C 20/25</t>
  </si>
  <si>
    <t>C 25/30</t>
  </si>
  <si>
    <t>C 30/37</t>
  </si>
  <si>
    <t>C 35/45</t>
  </si>
  <si>
    <t>C 40/50</t>
  </si>
  <si>
    <t>C 45/55</t>
  </si>
  <si>
    <t>C 50/60</t>
  </si>
  <si>
    <t>C 55/67</t>
  </si>
  <si>
    <t>C 60/75</t>
  </si>
  <si>
    <t>C 70/85</t>
  </si>
  <si>
    <t xml:space="preserve"> </t>
  </si>
  <si>
    <t>C 80/95</t>
  </si>
  <si>
    <t>C 90/105</t>
  </si>
  <si>
    <t>C 100/115</t>
  </si>
  <si>
    <t>Parabel-Rechteck-Diagramm (Leichtbeton)</t>
  </si>
  <si>
    <t>rho</t>
  </si>
  <si>
    <t>LC 12/13</t>
  </si>
  <si>
    <t>LC 16/18</t>
  </si>
  <si>
    <t>LC 20/22</t>
  </si>
  <si>
    <t>LC 25/28</t>
  </si>
  <si>
    <t>LC 30/33</t>
  </si>
  <si>
    <t>LC 35/38</t>
  </si>
  <si>
    <t>LC 40/44</t>
  </si>
  <si>
    <t>LC 45/50</t>
  </si>
  <si>
    <t>LC 50/55</t>
  </si>
  <si>
    <t>LC 55/60</t>
  </si>
  <si>
    <t>LC 60/66</t>
  </si>
  <si>
    <t>Betonart (Normal = 1; Leicht = 2)</t>
  </si>
  <si>
    <t xml:space="preserve">Wertepaare für Darstellung der Spannungs-Dehnungsbeziehung </t>
  </si>
  <si>
    <t>Hilfslinien für SD-Linien</t>
  </si>
  <si>
    <t>Param</t>
  </si>
  <si>
    <t>sigm_cd</t>
  </si>
  <si>
    <t>sigm_ck</t>
  </si>
  <si>
    <t>sigm_c</t>
  </si>
  <si>
    <t>SD für sigm_yk</t>
  </si>
  <si>
    <t>eps_s</t>
  </si>
  <si>
    <t>sigm_s</t>
  </si>
  <si>
    <t>SD für sigm_yd</t>
  </si>
  <si>
    <t>Hilfslinien für SD - Stahl</t>
  </si>
  <si>
    <t>Biegebemessung</t>
  </si>
  <si>
    <t>Querschnittsabmessungen</t>
  </si>
  <si>
    <t>h [cm] =</t>
  </si>
  <si>
    <t>d2 =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</si>
  <si>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[cm] =</t>
    </r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</si>
  <si>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[cm] = </t>
    </r>
  </si>
  <si>
    <r>
      <t>M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[kNm] =</t>
    </r>
  </si>
  <si>
    <r>
      <t>N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[kN] =</t>
    </r>
  </si>
  <si>
    <t>Dehnungsbegrenzung</t>
  </si>
  <si>
    <t>Einwirkungen</t>
  </si>
  <si>
    <t>lim (x/d)</t>
  </si>
  <si>
    <t>0,250  - bei Anwendung der Plastiziätstheorie bei Platten</t>
  </si>
  <si>
    <t>0,617  - aus wirtschaftlichen Gründen (nur bei stat. best.Systemen)</t>
  </si>
  <si>
    <t>0,350  - für Beton C40/45 und höher</t>
  </si>
  <si>
    <t>0,450  - für Beton C12/15 bis C35/45</t>
  </si>
  <si>
    <t xml:space="preserve">  (falls erf.)</t>
  </si>
  <si>
    <t>lim (x/d) =</t>
  </si>
  <si>
    <t>d1 =</t>
  </si>
  <si>
    <t>d - d2 =</t>
  </si>
  <si>
    <t>obere Bewehrung</t>
  </si>
  <si>
    <t>untere Bewehrung</t>
  </si>
  <si>
    <t>z_s1 =</t>
  </si>
  <si>
    <t>N_Ed =</t>
  </si>
  <si>
    <t>M_Ed =</t>
  </si>
  <si>
    <t>M_Eds =</t>
  </si>
  <si>
    <r>
      <t>D</t>
    </r>
    <r>
      <rPr>
        <sz val="10"/>
        <rFont val="Arial"/>
        <family val="2"/>
      </rPr>
      <t>M_Eds =</t>
    </r>
  </si>
  <si>
    <t>x [cm]</t>
  </si>
  <si>
    <t>z [cm]</t>
  </si>
  <si>
    <t>F_s1[kN]</t>
  </si>
  <si>
    <t>A_s1[cm²]</t>
  </si>
  <si>
    <t>lim (x/d) *</t>
  </si>
  <si>
    <t>Dehnungszustand</t>
  </si>
  <si>
    <t>eps_c2 =</t>
  </si>
  <si>
    <t>eps_c2u =</t>
  </si>
  <si>
    <t>x_p [cm]</t>
  </si>
  <si>
    <t>x_r [cm]</t>
  </si>
  <si>
    <t>e=x-a [cm]</t>
  </si>
  <si>
    <r>
      <t>s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>[kN/cm²]</t>
    </r>
  </si>
  <si>
    <t>G</t>
  </si>
  <si>
    <t>lim M_Rds =</t>
  </si>
  <si>
    <r>
      <t xml:space="preserve">M_Rds </t>
    </r>
    <r>
      <rPr>
        <sz val="10"/>
        <rFont val="Arial"/>
        <family val="2"/>
      </rPr>
      <t>[kNm]</t>
    </r>
  </si>
  <si>
    <t>A_s1 =</t>
  </si>
  <si>
    <t>A_s2 =</t>
  </si>
  <si>
    <t>x/d =</t>
  </si>
  <si>
    <t>z/d =</t>
  </si>
  <si>
    <t>z_c</t>
  </si>
  <si>
    <t>Kontrolle der Druckzone</t>
  </si>
  <si>
    <r>
      <t>s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</si>
  <si>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s2</t>
    </r>
    <r>
      <rPr>
        <sz val="10"/>
        <rFont val="Arial"/>
        <family val="2"/>
      </rPr>
      <t xml:space="preserve"> =</t>
    </r>
  </si>
  <si>
    <t>F_s2 =</t>
  </si>
  <si>
    <t>F_s1 =</t>
  </si>
  <si>
    <t>Bemessungsergebnisse</t>
  </si>
  <si>
    <t>Multiplikator für Einwirkungen</t>
  </si>
  <si>
    <t>Multiplikator</t>
  </si>
  <si>
    <t>a/x =</t>
  </si>
  <si>
    <t>1,000  - keine Begrenzung</t>
  </si>
  <si>
    <t>eps_s1 =</t>
  </si>
  <si>
    <t>Dehnungsverteilung über Querschnittshöhe</t>
  </si>
  <si>
    <t>Ergebnisse</t>
  </si>
  <si>
    <t>Spannungsresultierende im Querschnitt</t>
  </si>
  <si>
    <t>Daten zu Diagrammen</t>
  </si>
  <si>
    <t>Dehnungsverteilung</t>
  </si>
  <si>
    <t>Spannungsresultierende</t>
  </si>
  <si>
    <t>erf A_s2 [cm2] =</t>
  </si>
  <si>
    <t>erf A_s1 [cm2] =</t>
  </si>
  <si>
    <t>(oben)</t>
  </si>
  <si>
    <t>b [cm] / h [cm] =</t>
  </si>
  <si>
    <t>eps_c2 [o/oo] =</t>
  </si>
  <si>
    <t xml:space="preserve">     (unten)</t>
  </si>
  <si>
    <t xml:space="preserve">Multiplikator für Einwirkungen N_Ed und M_Ed  = </t>
  </si>
  <si>
    <t>F_sd2 [kN] =</t>
  </si>
  <si>
    <t>F_sd1 [kN] =</t>
  </si>
  <si>
    <t>F_cd [kN] =</t>
  </si>
  <si>
    <t>d1 / d2 [cm] =</t>
  </si>
  <si>
    <t>eps_s1 [o/oo] =</t>
  </si>
  <si>
    <t>x [cm] =</t>
  </si>
  <si>
    <t>a [cm] =</t>
  </si>
  <si>
    <t>z [cm] =</t>
  </si>
  <si>
    <t>eps_s2 =</t>
  </si>
  <si>
    <t>[0/00]</t>
  </si>
  <si>
    <t>Hebelarm</t>
  </si>
  <si>
    <t>eps_s2 [o/oo] =</t>
  </si>
  <si>
    <t>Druckresultierende</t>
  </si>
  <si>
    <t>zurück</t>
  </si>
  <si>
    <t>Stand:</t>
  </si>
  <si>
    <t>von gevouteten T-Querschnitten aus Stahlbeton mit und ohne Druckbewehrung</t>
  </si>
  <si>
    <t>b_f [cm] =</t>
  </si>
  <si>
    <t>b_v [cm] =</t>
  </si>
  <si>
    <t>b_w [cm] =</t>
  </si>
  <si>
    <t>h_f [cm] =</t>
  </si>
  <si>
    <t>h_v [cm] =</t>
  </si>
  <si>
    <t>e_s [cm] =</t>
  </si>
  <si>
    <t>I_y [cm^4] =</t>
  </si>
  <si>
    <t>Querschnittswerte:</t>
  </si>
  <si>
    <t>Querschnittskontrolle</t>
  </si>
  <si>
    <t>y</t>
  </si>
  <si>
    <t>z</t>
  </si>
  <si>
    <t>y'</t>
  </si>
  <si>
    <t>Schichten</t>
  </si>
  <si>
    <t>Gurt</t>
  </si>
  <si>
    <t>Voute</t>
  </si>
  <si>
    <t>Steg</t>
  </si>
  <si>
    <t>Schwerpunkt</t>
  </si>
  <si>
    <t>Ae^2 (cm^4)</t>
  </si>
  <si>
    <t>Io (cm^4)</t>
  </si>
  <si>
    <t>Ae (cm^3)</t>
  </si>
  <si>
    <t>e (cm)</t>
  </si>
  <si>
    <t>A (cm^2)</t>
  </si>
  <si>
    <t>QP</t>
  </si>
  <si>
    <t>Querschnittpunkte</t>
  </si>
  <si>
    <t>Voutenbreite (auf einer Seite)</t>
  </si>
  <si>
    <t>Flaschbreite (ggf. mitwirkende Breite)</t>
  </si>
  <si>
    <t>Flaschhöhe (ggf. Plattendicke)</t>
  </si>
  <si>
    <t>gesamte Querschnittshöhe</t>
  </si>
  <si>
    <t>Höhe der Voute</t>
  </si>
  <si>
    <t>Kontrolle, ob   h - h_f - h_v &gt;= 0</t>
  </si>
  <si>
    <t xml:space="preserve">Kontrolle, ob   b_f - 2*b_v - b_w &gt;= 0 </t>
  </si>
  <si>
    <t>Trägheitsmoment</t>
  </si>
  <si>
    <t>Darstellung ist unmaßstäblich (Schwerpunkt liegt im Ursprung des KS)</t>
  </si>
  <si>
    <t>Stegbreite (unten)</t>
  </si>
  <si>
    <t>T</t>
  </si>
  <si>
    <t>V</t>
  </si>
  <si>
    <t>T mit V</t>
  </si>
  <si>
    <t>Brücken</t>
  </si>
  <si>
    <t>Beispieldatensätze für Querschnitte</t>
  </si>
  <si>
    <t>b_f =</t>
  </si>
  <si>
    <t>b_v =</t>
  </si>
  <si>
    <t>b_w =</t>
  </si>
  <si>
    <t>h_f =</t>
  </si>
  <si>
    <t>h_v =</t>
  </si>
  <si>
    <t>Q-Teil</t>
  </si>
  <si>
    <t>Flansch</t>
  </si>
  <si>
    <t>Anz. Layer</t>
  </si>
  <si>
    <t>delta_h</t>
  </si>
  <si>
    <t>Höhe [cm]</t>
  </si>
  <si>
    <t>A_i [cm^2]</t>
  </si>
  <si>
    <t xml:space="preserve">  (auf S bezogen)</t>
  </si>
  <si>
    <t>obere Gr.</t>
  </si>
  <si>
    <t>untere Gr.</t>
  </si>
  <si>
    <t>b_oben [cm]</t>
  </si>
  <si>
    <t>b_unten [cm]</t>
  </si>
  <si>
    <t>b_m [cm]</t>
  </si>
  <si>
    <t>h_oben [cm]</t>
  </si>
  <si>
    <t>eps_i</t>
  </si>
  <si>
    <t>eps_0 =</t>
  </si>
  <si>
    <t>kappa =</t>
  </si>
  <si>
    <t>sigm_i</t>
  </si>
  <si>
    <t>Fcd_i</t>
  </si>
  <si>
    <t xml:space="preserve">x/d = </t>
  </si>
  <si>
    <t>Mcd_i</t>
  </si>
  <si>
    <t>a [cm]</t>
  </si>
  <si>
    <t>Fcd_i0</t>
  </si>
  <si>
    <t>Layermodell</t>
  </si>
  <si>
    <r>
      <t>S</t>
    </r>
    <r>
      <rPr>
        <sz val="10"/>
        <rFont val="Arial"/>
        <family val="2"/>
      </rPr>
      <t xml:space="preserve"> F_cdi</t>
    </r>
  </si>
  <si>
    <r>
      <t>S</t>
    </r>
    <r>
      <rPr>
        <sz val="10"/>
        <rFont val="Arial"/>
        <family val="2"/>
      </rPr>
      <t xml:space="preserve"> A_i</t>
    </r>
  </si>
  <si>
    <r>
      <t>S</t>
    </r>
    <r>
      <rPr>
        <sz val="10"/>
        <rFont val="Arial"/>
        <family val="2"/>
      </rPr>
      <t xml:space="preserve"> F_cdi0</t>
    </r>
  </si>
  <si>
    <r>
      <t>S</t>
    </r>
    <r>
      <rPr>
        <sz val="10"/>
        <rFont val="Arial"/>
        <family val="2"/>
      </rPr>
      <t xml:space="preserve"> M_cdi</t>
    </r>
  </si>
  <si>
    <t>Zwischenergebnisse aus Layermodell</t>
  </si>
  <si>
    <t>e [cm]</t>
  </si>
  <si>
    <t>max x [cm] =</t>
  </si>
  <si>
    <t>Summation</t>
  </si>
  <si>
    <t>Höhe in DZ [cm]</t>
  </si>
  <si>
    <t>Gurt/DZ</t>
  </si>
  <si>
    <t>Voute/DZ</t>
  </si>
  <si>
    <t>Steg/DZ</t>
  </si>
  <si>
    <t>Höhe max. Druckzone</t>
  </si>
  <si>
    <t>Schicht i in DZ</t>
  </si>
  <si>
    <t>Grenzzustand bei x/d = lim(x/d)</t>
  </si>
  <si>
    <t>M_Rds =</t>
  </si>
  <si>
    <t>z =</t>
  </si>
  <si>
    <t xml:space="preserve">x = </t>
  </si>
  <si>
    <r>
      <t>D</t>
    </r>
    <r>
      <rPr>
        <sz val="10"/>
        <rFont val="Arial"/>
        <family val="2"/>
      </rPr>
      <t xml:space="preserve"> M_Eds =</t>
    </r>
  </si>
  <si>
    <t>Druckbew.</t>
  </si>
  <si>
    <t>Druckbewehrung erforderlich?</t>
  </si>
  <si>
    <t>[cm]</t>
  </si>
  <si>
    <r>
      <t>D</t>
    </r>
    <r>
      <rPr>
        <sz val="10"/>
        <rFont val="Arial"/>
        <family val="2"/>
      </rPr>
      <t xml:space="preserve"> F_sd1 =</t>
    </r>
  </si>
  <si>
    <r>
      <t>D</t>
    </r>
    <r>
      <rPr>
        <sz val="10"/>
        <rFont val="Arial"/>
        <family val="2"/>
      </rPr>
      <t xml:space="preserve"> F_sd2 =</t>
    </r>
  </si>
  <si>
    <t>Zug</t>
  </si>
  <si>
    <t>Druck</t>
  </si>
  <si>
    <t>sigm_s1 =</t>
  </si>
  <si>
    <t>sigm_s2 =</t>
  </si>
  <si>
    <t>Dehnung</t>
  </si>
  <si>
    <t>Stauchung</t>
  </si>
  <si>
    <t>Zugkraft</t>
  </si>
  <si>
    <t>Druckkraft</t>
  </si>
  <si>
    <r>
      <t>D</t>
    </r>
    <r>
      <rPr>
        <sz val="10"/>
        <rFont val="Arial"/>
        <family val="2"/>
      </rPr>
      <t xml:space="preserve"> A_s1 =</t>
    </r>
  </si>
  <si>
    <r>
      <t>D</t>
    </r>
    <r>
      <rPr>
        <sz val="10"/>
        <rFont val="Arial"/>
        <family val="2"/>
      </rPr>
      <t xml:space="preserve"> A_s2 =</t>
    </r>
  </si>
  <si>
    <t>Zugbew.</t>
  </si>
  <si>
    <t>d - d_2=</t>
  </si>
  <si>
    <t>- F_cd [kN]</t>
  </si>
  <si>
    <t>a/x</t>
  </si>
  <si>
    <t>im Gurt</t>
  </si>
  <si>
    <t>in Voute</t>
  </si>
  <si>
    <t>in Steg</t>
  </si>
  <si>
    <t>E_d</t>
  </si>
  <si>
    <t xml:space="preserve">N_Ed = </t>
  </si>
  <si>
    <t xml:space="preserve">M_Ed = </t>
  </si>
  <si>
    <r>
      <t>&lt;=</t>
    </r>
    <r>
      <rPr>
        <sz val="8"/>
        <rFont val="Arial"/>
        <family val="2"/>
      </rPr>
      <t xml:space="preserve">      R_d</t>
    </r>
  </si>
  <si>
    <t xml:space="preserve">e_s =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</si>
</sst>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E+00"/>
    <numFmt numFmtId="180" formatCode="#,##0.00\ &quot;DM&quot;"/>
    <numFmt numFmtId="181" formatCode="d/\ mmm/\ yy"/>
    <numFmt numFmtId="182" formatCode="0.0000E+00"/>
    <numFmt numFmtId="183" formatCode="#.#00"/>
    <numFmt numFmtId="184" formatCode="[$-407]dddd\,\ d\.\ mmmm\ yyyy"/>
  </numFmts>
  <fonts count="56">
    <font>
      <sz val="12"/>
      <name val="Arial"/>
      <family val="0"/>
    </font>
    <font>
      <u val="single"/>
      <sz val="12"/>
      <color indexed="36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Monospac821 BT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Monospac821 BT"/>
      <family val="3"/>
    </font>
    <font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73" fontId="10" fillId="34" borderId="0" xfId="0" applyNumberFormat="1" applyFont="1" applyFill="1" applyAlignment="1">
      <alignment horizontal="right"/>
    </xf>
    <xf numFmtId="1" fontId="10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12" fillId="34" borderId="13" xfId="0" applyFont="1" applyFill="1" applyBorder="1" applyAlignment="1">
      <alignment/>
    </xf>
    <xf numFmtId="1" fontId="12" fillId="34" borderId="13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 horizontal="right"/>
    </xf>
    <xf numFmtId="2" fontId="5" fillId="35" borderId="0" xfId="0" applyNumberFormat="1" applyFont="1" applyFill="1" applyAlignment="1">
      <alignment/>
    </xf>
    <xf numFmtId="0" fontId="12" fillId="34" borderId="15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2" fontId="2" fillId="36" borderId="11" xfId="0" applyNumberFormat="1" applyFont="1" applyFill="1" applyBorder="1" applyAlignment="1">
      <alignment horizontal="center"/>
    </xf>
    <xf numFmtId="2" fontId="2" fillId="36" borderId="1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left"/>
    </xf>
    <xf numFmtId="2" fontId="2" fillId="35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4" fontId="2" fillId="33" borderId="17" xfId="0" applyNumberFormat="1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175" fontId="2" fillId="0" borderId="17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175" fontId="2" fillId="0" borderId="19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3" fontId="5" fillId="0" borderId="18" xfId="0" applyNumberFormat="1" applyFont="1" applyBorder="1" applyAlignment="1">
      <alignment/>
    </xf>
    <xf numFmtId="2" fontId="12" fillId="0" borderId="16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6" borderId="2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172" fontId="2" fillId="0" borderId="17" xfId="0" applyNumberFormat="1" applyFont="1" applyBorder="1" applyAlignment="1">
      <alignment/>
    </xf>
    <xf numFmtId="173" fontId="2" fillId="33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18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173" fontId="2" fillId="0" borderId="19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73" fontId="2" fillId="33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0" borderId="11" xfId="0" applyFont="1" applyFill="1" applyBorder="1" applyAlignment="1" quotePrefix="1">
      <alignment/>
    </xf>
    <xf numFmtId="172" fontId="2" fillId="33" borderId="16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2" fillId="0" borderId="20" xfId="0" applyFont="1" applyFill="1" applyBorder="1" applyAlignment="1" quotePrefix="1">
      <alignment/>
    </xf>
    <xf numFmtId="172" fontId="2" fillId="0" borderId="19" xfId="0" applyNumberFormat="1" applyFont="1" applyFill="1" applyBorder="1" applyAlignment="1">
      <alignment/>
    </xf>
    <xf numFmtId="0" fontId="2" fillId="34" borderId="0" xfId="0" applyFont="1" applyFill="1" applyAlignment="1">
      <alignment horizontal="left"/>
    </xf>
    <xf numFmtId="2" fontId="2" fillId="33" borderId="0" xfId="0" applyNumberFormat="1" applyFont="1" applyFill="1" applyBorder="1" applyAlignment="1">
      <alignment horizontal="right"/>
    </xf>
    <xf numFmtId="2" fontId="2" fillId="33" borderId="17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 horizontal="right"/>
    </xf>
    <xf numFmtId="0" fontId="13" fillId="34" borderId="0" xfId="0" applyFont="1" applyFill="1" applyAlignment="1">
      <alignment horizontal="right"/>
    </xf>
    <xf numFmtId="176" fontId="14" fillId="37" borderId="22" xfId="0" applyNumberFormat="1" applyFont="1" applyFill="1" applyBorder="1" applyAlignment="1">
      <alignment/>
    </xf>
    <xf numFmtId="2" fontId="14" fillId="37" borderId="22" xfId="0" applyNumberFormat="1" applyFont="1" applyFill="1" applyBorder="1" applyAlignment="1">
      <alignment/>
    </xf>
    <xf numFmtId="173" fontId="10" fillId="34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right"/>
    </xf>
    <xf numFmtId="2" fontId="2" fillId="33" borderId="19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1" fontId="12" fillId="34" borderId="15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173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8" xfId="0" applyNumberFormat="1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2" fillId="0" borderId="18" xfId="0" applyNumberFormat="1" applyFont="1" applyBorder="1" applyAlignment="1">
      <alignment/>
    </xf>
    <xf numFmtId="2" fontId="2" fillId="0" borderId="18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2" fontId="12" fillId="34" borderId="16" xfId="0" applyNumberFormat="1" applyFont="1" applyFill="1" applyBorder="1" applyAlignment="1">
      <alignment/>
    </xf>
    <xf numFmtId="2" fontId="13" fillId="34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2" fontId="2" fillId="0" borderId="29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27" xfId="0" applyNumberFormat="1" applyFont="1" applyBorder="1" applyAlignment="1">
      <alignment/>
    </xf>
    <xf numFmtId="0" fontId="15" fillId="34" borderId="0" xfId="0" applyFont="1" applyFill="1" applyAlignment="1">
      <alignment horizontal="right"/>
    </xf>
    <xf numFmtId="0" fontId="2" fillId="34" borderId="0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36" borderId="28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29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36" borderId="31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173" fontId="2" fillId="0" borderId="34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73" fontId="2" fillId="0" borderId="3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 horizontal="right"/>
    </xf>
    <xf numFmtId="173" fontId="2" fillId="33" borderId="18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/>
    </xf>
    <xf numFmtId="0" fontId="9" fillId="34" borderId="0" xfId="47" applyFill="1" applyAlignment="1" applyProtection="1">
      <alignment horizontal="right"/>
      <protection/>
    </xf>
    <xf numFmtId="0" fontId="2" fillId="34" borderId="12" xfId="0" applyFont="1" applyFill="1" applyBorder="1" applyAlignment="1">
      <alignment/>
    </xf>
    <xf numFmtId="0" fontId="13" fillId="34" borderId="0" xfId="0" applyFont="1" applyFill="1" applyAlignment="1" quotePrefix="1">
      <alignment horizontal="left"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13" fillId="34" borderId="37" xfId="0" applyFont="1" applyFill="1" applyBorder="1" applyAlignment="1">
      <alignment horizontal="right"/>
    </xf>
    <xf numFmtId="2" fontId="16" fillId="34" borderId="38" xfId="0" applyNumberFormat="1" applyFont="1" applyFill="1" applyBorder="1" applyAlignment="1">
      <alignment horizontal="left"/>
    </xf>
    <xf numFmtId="2" fontId="2" fillId="35" borderId="0" xfId="0" applyNumberFormat="1" applyFont="1" applyFill="1" applyAlignment="1">
      <alignment/>
    </xf>
    <xf numFmtId="11" fontId="2" fillId="0" borderId="18" xfId="0" applyNumberFormat="1" applyFont="1" applyBorder="1" applyAlignment="1">
      <alignment/>
    </xf>
    <xf numFmtId="0" fontId="13" fillId="34" borderId="0" xfId="0" applyFont="1" applyFill="1" applyAlignment="1">
      <alignment/>
    </xf>
    <xf numFmtId="176" fontId="14" fillId="0" borderId="22" xfId="0" applyNumberFormat="1" applyFont="1" applyBorder="1" applyAlignment="1">
      <alignment/>
    </xf>
    <xf numFmtId="0" fontId="11" fillId="34" borderId="0" xfId="0" applyFont="1" applyFill="1" applyAlignment="1">
      <alignment horizontal="center"/>
    </xf>
    <xf numFmtId="2" fontId="5" fillId="34" borderId="0" xfId="0" applyNumberFormat="1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34" borderId="22" xfId="0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0" fontId="2" fillId="38" borderId="22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center"/>
    </xf>
    <xf numFmtId="176" fontId="2" fillId="33" borderId="22" xfId="0" applyNumberFormat="1" applyFont="1" applyFill="1" applyBorder="1" applyAlignment="1">
      <alignment/>
    </xf>
    <xf numFmtId="176" fontId="2" fillId="34" borderId="0" xfId="0" applyNumberFormat="1" applyFont="1" applyFill="1" applyAlignment="1">
      <alignment/>
    </xf>
    <xf numFmtId="2" fontId="5" fillId="34" borderId="22" xfId="0" applyNumberFormat="1" applyFont="1" applyFill="1" applyBorder="1" applyAlignment="1">
      <alignment/>
    </xf>
    <xf numFmtId="0" fontId="11" fillId="34" borderId="0" xfId="0" applyFont="1" applyFill="1" applyAlignment="1">
      <alignment horizontal="right"/>
    </xf>
    <xf numFmtId="173" fontId="2" fillId="34" borderId="22" xfId="0" applyNumberFormat="1" applyFont="1" applyFill="1" applyBorder="1" applyAlignment="1">
      <alignment/>
    </xf>
    <xf numFmtId="2" fontId="17" fillId="34" borderId="0" xfId="0" applyNumberFormat="1" applyFont="1" applyFill="1" applyAlignment="1">
      <alignment horizontal="center"/>
    </xf>
    <xf numFmtId="0" fontId="2" fillId="37" borderId="39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2" fillId="34" borderId="0" xfId="0" applyFont="1" applyFill="1" applyAlignment="1">
      <alignment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2" fontId="2" fillId="33" borderId="18" xfId="0" applyNumberFormat="1" applyFont="1" applyFill="1" applyBorder="1" applyAlignment="1">
      <alignment horizontal="right"/>
    </xf>
    <xf numFmtId="2" fontId="10" fillId="34" borderId="0" xfId="0" applyNumberFormat="1" applyFont="1" applyFill="1" applyBorder="1" applyAlignment="1">
      <alignment/>
    </xf>
    <xf numFmtId="182" fontId="10" fillId="34" borderId="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73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20" xfId="0" applyFont="1" applyBorder="1" applyAlignment="1">
      <alignment/>
    </xf>
    <xf numFmtId="0" fontId="5" fillId="36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176" fontId="5" fillId="33" borderId="17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3" fontId="5" fillId="33" borderId="17" xfId="0" applyNumberFormat="1" applyFont="1" applyFill="1" applyBorder="1" applyAlignment="1">
      <alignment/>
    </xf>
    <xf numFmtId="173" fontId="5" fillId="33" borderId="11" xfId="0" applyNumberFormat="1" applyFont="1" applyFill="1" applyBorder="1" applyAlignment="1">
      <alignment/>
    </xf>
    <xf numFmtId="172" fontId="5" fillId="33" borderId="17" xfId="0" applyNumberFormat="1" applyFont="1" applyFill="1" applyBorder="1" applyAlignment="1">
      <alignment/>
    </xf>
    <xf numFmtId="172" fontId="12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172" fontId="2" fillId="34" borderId="18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173" fontId="15" fillId="33" borderId="22" xfId="0" applyNumberFormat="1" applyFont="1" applyFill="1" applyBorder="1" applyAlignment="1">
      <alignment horizontal="right"/>
    </xf>
    <xf numFmtId="173" fontId="15" fillId="33" borderId="22" xfId="0" applyNumberFormat="1" applyFont="1" applyFill="1" applyBorder="1" applyAlignment="1">
      <alignment/>
    </xf>
    <xf numFmtId="0" fontId="15" fillId="33" borderId="22" xfId="0" applyFont="1" applyFill="1" applyBorder="1" applyAlignment="1">
      <alignment/>
    </xf>
    <xf numFmtId="2" fontId="15" fillId="33" borderId="22" xfId="0" applyNumberFormat="1" applyFont="1" applyFill="1" applyBorder="1" applyAlignment="1">
      <alignment horizontal="right"/>
    </xf>
    <xf numFmtId="2" fontId="15" fillId="33" borderId="22" xfId="0" applyNumberFormat="1" applyFont="1" applyFill="1" applyBorder="1" applyAlignment="1">
      <alignment/>
    </xf>
    <xf numFmtId="2" fontId="15" fillId="38" borderId="22" xfId="0" applyNumberFormat="1" applyFont="1" applyFill="1" applyBorder="1" applyAlignment="1">
      <alignment horizontal="right"/>
    </xf>
    <xf numFmtId="2" fontId="2" fillId="34" borderId="41" xfId="0" applyNumberFormat="1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0" fontId="2" fillId="34" borderId="22" xfId="0" applyFont="1" applyFill="1" applyBorder="1" applyAlignment="1">
      <alignment horizontal="right"/>
    </xf>
    <xf numFmtId="2" fontId="11" fillId="34" borderId="22" xfId="0" applyNumberFormat="1" applyFont="1" applyFill="1" applyBorder="1" applyAlignment="1">
      <alignment horizontal="center"/>
    </xf>
    <xf numFmtId="173" fontId="2" fillId="34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176" fontId="2" fillId="34" borderId="22" xfId="0" applyNumberFormat="1" applyFont="1" applyFill="1" applyBorder="1" applyAlignment="1">
      <alignment/>
    </xf>
    <xf numFmtId="173" fontId="2" fillId="34" borderId="0" xfId="0" applyNumberFormat="1" applyFont="1" applyFill="1" applyAlignment="1">
      <alignment/>
    </xf>
    <xf numFmtId="0" fontId="2" fillId="33" borderId="18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2" fillId="36" borderId="2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173" fontId="2" fillId="0" borderId="20" xfId="0" applyNumberFormat="1" applyFont="1" applyBorder="1" applyAlignment="1">
      <alignment/>
    </xf>
    <xf numFmtId="0" fontId="5" fillId="36" borderId="22" xfId="0" applyFont="1" applyFill="1" applyBorder="1" applyAlignment="1" quotePrefix="1">
      <alignment horizontal="center"/>
    </xf>
    <xf numFmtId="2" fontId="2" fillId="0" borderId="11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2" fillId="0" borderId="4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40" xfId="0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/>
    </xf>
    <xf numFmtId="173" fontId="2" fillId="0" borderId="19" xfId="0" applyNumberFormat="1" applyFont="1" applyFill="1" applyBorder="1" applyAlignment="1">
      <alignment/>
    </xf>
    <xf numFmtId="0" fontId="12" fillId="33" borderId="18" xfId="0" applyFont="1" applyFill="1" applyBorder="1" applyAlignment="1">
      <alignment/>
    </xf>
    <xf numFmtId="173" fontId="12" fillId="0" borderId="17" xfId="0" applyNumberFormat="1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2" fontId="5" fillId="38" borderId="22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 horizontal="right"/>
    </xf>
    <xf numFmtId="0" fontId="2" fillId="38" borderId="22" xfId="0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5" fillId="39" borderId="0" xfId="0" applyFont="1" applyFill="1" applyAlignment="1">
      <alignment/>
    </xf>
    <xf numFmtId="14" fontId="2" fillId="39" borderId="0" xfId="0" applyNumberFormat="1" applyFont="1" applyFill="1" applyAlignment="1" quotePrefix="1">
      <alignment/>
    </xf>
    <xf numFmtId="0" fontId="2" fillId="39" borderId="12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">
    <dxf>
      <fill>
        <patternFill>
          <bgColor indexed="14"/>
        </patternFill>
      </fill>
    </dxf>
    <dxf>
      <fill>
        <patternFill>
          <bgColor indexed="46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indexed="55"/>
      </font>
    </dxf>
    <dxf>
      <font>
        <color rgb="FF969696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Dateneingabe!$I$41:$I$47</c:f>
              <c:numCache/>
            </c:numRef>
          </c:xVal>
          <c:yVal>
            <c:numRef>
              <c:f>Dateneingabe!$J$41:$J$47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Dateneingabe!$K$41:$K$47</c:f>
              <c:numCache/>
            </c:numRef>
          </c:xVal>
          <c:yVal>
            <c:numRef>
              <c:f>Dateneingabe!$J$41:$J$47</c:f>
              <c:numCache/>
            </c:numRef>
          </c:yVal>
          <c:smooth val="0"/>
        </c:ser>
        <c:axId val="6557252"/>
        <c:axId val="59015269"/>
      </c:scatterChart>
      <c:valAx>
        <c:axId val="6557252"/>
        <c:scaling>
          <c:orientation val="maxMin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5269"/>
        <c:crosses val="autoZero"/>
        <c:crossBetween val="midCat"/>
        <c:dispUnits/>
        <c:majorUnit val="20"/>
      </c:valAx>
      <c:valAx>
        <c:axId val="59015269"/>
        <c:scaling>
          <c:orientation val="maxMin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252"/>
        <c:crosses val="autoZero"/>
        <c:crossBetween val="midCat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7625"/>
          <c:h val="0.94"/>
        </c:manualLayout>
      </c:layout>
      <c:scatterChart>
        <c:scatterStyle val="lineMarker"/>
        <c:varyColors val="0"/>
        <c:ser>
          <c:idx val="1"/>
          <c:order val="0"/>
          <c:tx>
            <c:v>DV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Datenbasis!$B$110:$B$111</c:f>
              <c:numCache>
                <c:ptCount val="2"/>
                <c:pt idx="0">
                  <c:v>-3.418683173888579</c:v>
                </c:pt>
                <c:pt idx="1">
                  <c:v>25</c:v>
                </c:pt>
              </c:numCache>
            </c:numRef>
          </c:xVal>
          <c:yVal>
            <c:numRef>
              <c:f>Datenbasis!$C$110:$C$111</c:f>
              <c:numCache>
                <c:ptCount val="2"/>
                <c:pt idx="0">
                  <c:v>-43.333333333333336</c:v>
                </c:pt>
                <c:pt idx="1">
                  <c:v>51.666666666666664</c:v>
                </c:pt>
              </c:numCache>
            </c:numRef>
          </c:yVal>
          <c:smooth val="0"/>
        </c:ser>
        <c:ser>
          <c:idx val="2"/>
          <c:order val="1"/>
          <c:tx>
            <c:v>eps_s1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Datenbasis!$B$112:$B$113</c:f>
              <c:numCache>
                <c:ptCount val="2"/>
                <c:pt idx="0">
                  <c:v>25</c:v>
                </c:pt>
                <c:pt idx="1">
                  <c:v>0</c:v>
                </c:pt>
              </c:numCache>
            </c:numRef>
          </c:xVal>
          <c:yVal>
            <c:numRef>
              <c:f>Datenbasis!$C$112:$C$113</c:f>
              <c:numCache>
                <c:ptCount val="2"/>
                <c:pt idx="0">
                  <c:v>51.666666666666664</c:v>
                </c:pt>
                <c:pt idx="1">
                  <c:v>51.666666666666664</c:v>
                </c:pt>
              </c:numCache>
            </c:numRef>
          </c:yVal>
          <c:smooth val="0"/>
        </c:ser>
        <c:ser>
          <c:idx val="5"/>
          <c:order val="2"/>
          <c:tx>
            <c:v>limDV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Datenbasis!$B$108:$B$109</c:f>
              <c:numCache>
                <c:ptCount val="2"/>
                <c:pt idx="0">
                  <c:v>-3.5</c:v>
                </c:pt>
                <c:pt idx="1">
                  <c:v>4.277777777777778</c:v>
                </c:pt>
              </c:numCache>
            </c:numRef>
          </c:xVal>
          <c:yVal>
            <c:numRef>
              <c:f>Datenbasis!$C$108:$C$109</c:f>
              <c:numCache>
                <c:ptCount val="2"/>
                <c:pt idx="0">
                  <c:v>-43.333333333333336</c:v>
                </c:pt>
                <c:pt idx="1">
                  <c:v>51.666666666666664</c:v>
                </c:pt>
              </c:numCache>
            </c:numRef>
          </c:yVal>
          <c:smooth val="0"/>
        </c:ser>
        <c:ser>
          <c:idx val="0"/>
          <c:order val="3"/>
          <c:tx>
            <c:v>Querschnitt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Datenbasis!$B$116:$B$119</c:f>
              <c:numCache>
                <c:ptCount val="4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</c:numCache>
            </c:numRef>
          </c:xVal>
          <c:yVal>
            <c:numRef>
              <c:f>Datenbasis!$C$116:$C$119</c:f>
              <c:numCache>
                <c:ptCount val="4"/>
                <c:pt idx="0">
                  <c:v>-43.333333333333336</c:v>
                </c:pt>
                <c:pt idx="1">
                  <c:v>-43.333333333333336</c:v>
                </c:pt>
                <c:pt idx="2">
                  <c:v>56.666666666666664</c:v>
                </c:pt>
                <c:pt idx="3">
                  <c:v>56.666666666666664</c:v>
                </c:pt>
              </c:numCache>
            </c:numRef>
          </c:yVal>
          <c:smooth val="0"/>
        </c:ser>
        <c:ser>
          <c:idx val="3"/>
          <c:order val="4"/>
          <c:tx>
            <c:v>Gurt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Datenbasis!$B$120:$B$121</c:f>
              <c:numCache>
                <c:ptCount val="2"/>
                <c:pt idx="0">
                  <c:v>-3</c:v>
                </c:pt>
                <c:pt idx="1">
                  <c:v>0</c:v>
                </c:pt>
              </c:numCache>
            </c:numRef>
          </c:xVal>
          <c:yVal>
            <c:numRef>
              <c:f>Datenbasis!$C$120:$C$121</c:f>
              <c:numCache>
                <c:ptCount val="2"/>
                <c:pt idx="0">
                  <c:v>-43.333333333333336</c:v>
                </c:pt>
                <c:pt idx="1">
                  <c:v>-43.333333333333336</c:v>
                </c:pt>
              </c:numCache>
            </c:numRef>
          </c:yVal>
          <c:smooth val="0"/>
        </c:ser>
        <c:ser>
          <c:idx val="4"/>
          <c:order val="5"/>
          <c:tx>
            <c:v>Voute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Datenbasis!$B$122:$B$123</c:f>
              <c:numCache>
                <c:ptCount val="2"/>
                <c:pt idx="0">
                  <c:v>-3</c:v>
                </c:pt>
                <c:pt idx="1">
                  <c:v>0</c:v>
                </c:pt>
              </c:numCache>
            </c:numRef>
          </c:xVal>
          <c:yVal>
            <c:numRef>
              <c:f>Datenbasis!$C$122:$C$123</c:f>
              <c:numCache>
                <c:ptCount val="2"/>
                <c:pt idx="0">
                  <c:v>56.666666666666664</c:v>
                </c:pt>
                <c:pt idx="1">
                  <c:v>56.666666666666664</c:v>
                </c:pt>
              </c:numCache>
            </c:numRef>
          </c:yVal>
          <c:smooth val="0"/>
        </c:ser>
        <c:axId val="61375374"/>
        <c:axId val="15507455"/>
      </c:scatterChart>
      <c:valAx>
        <c:axId val="61375374"/>
        <c:scaling>
          <c:orientation val="minMax"/>
          <c:max val="25"/>
          <c:min val="-5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.#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7455"/>
        <c:crosses val="autoZero"/>
        <c:crossBetween val="midCat"/>
        <c:dispUnits/>
        <c:majorUnit val="5"/>
      </c:valAx>
      <c:valAx>
        <c:axId val="15507455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7"/>
          <c:w val="0.955"/>
          <c:h val="0.943"/>
        </c:manualLayout>
      </c:layout>
      <c:scatterChart>
        <c:scatterStyle val="lineMarker"/>
        <c:varyColors val="0"/>
        <c:ser>
          <c:idx val="3"/>
          <c:order val="0"/>
          <c:tx>
            <c:v>Quer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Datenbasis!$E$120:$E$123</c:f>
              <c:numCache>
                <c:ptCount val="4"/>
                <c:pt idx="0">
                  <c:v>-341.84013488625436</c:v>
                </c:pt>
                <c:pt idx="1">
                  <c:v>0</c:v>
                </c:pt>
                <c:pt idx="2">
                  <c:v>0</c:v>
                </c:pt>
                <c:pt idx="3">
                  <c:v>-341.84013488625436</c:v>
                </c:pt>
              </c:numCache>
            </c:numRef>
          </c:xVal>
          <c:yVal>
            <c:numRef>
              <c:f>Datenbasis!$F$120:$F$123</c:f>
              <c:numCache>
                <c:ptCount val="4"/>
                <c:pt idx="0">
                  <c:v>-43.333333333333336</c:v>
                </c:pt>
                <c:pt idx="1">
                  <c:v>-43.333333333333336</c:v>
                </c:pt>
                <c:pt idx="2">
                  <c:v>56.666666666666664</c:v>
                </c:pt>
                <c:pt idx="3">
                  <c:v>56.666666666666664</c:v>
                </c:pt>
              </c:numCache>
            </c:numRef>
          </c:yVal>
          <c:smooth val="0"/>
        </c:ser>
        <c:ser>
          <c:idx val="0"/>
          <c:order val="1"/>
          <c:tx>
            <c:v>OBew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Datenbasis!$E$109:$E$110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Datenbasis!$F$109:$F$110</c:f>
              <c:numCache>
                <c:ptCount val="2"/>
                <c:pt idx="0">
                  <c:v>-37.333333333333336</c:v>
                </c:pt>
                <c:pt idx="1">
                  <c:v>-37.333333333333336</c:v>
                </c:pt>
              </c:numCache>
            </c:numRef>
          </c:yVal>
          <c:smooth val="0"/>
        </c:ser>
        <c:ser>
          <c:idx val="1"/>
          <c:order val="2"/>
          <c:tx>
            <c:v>UBew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Datenbasis!$E$112:$E$113</c:f>
              <c:numCache>
                <c:ptCount val="2"/>
                <c:pt idx="0">
                  <c:v>0</c:v>
                </c:pt>
                <c:pt idx="1">
                  <c:v>509.9352697725087</c:v>
                </c:pt>
              </c:numCache>
            </c:numRef>
          </c:xVal>
          <c:yVal>
            <c:numRef>
              <c:f>Datenbasis!$F$112:$F$113</c:f>
              <c:numCache>
                <c:ptCount val="2"/>
                <c:pt idx="0">
                  <c:v>51.666666666666664</c:v>
                </c:pt>
                <c:pt idx="1">
                  <c:v>51.666666666666664</c:v>
                </c:pt>
              </c:numCache>
            </c:numRef>
          </c:yVal>
          <c:smooth val="0"/>
        </c:ser>
        <c:ser>
          <c:idx val="2"/>
          <c:order val="3"/>
          <c:tx>
            <c:v>DRes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Datenbasis!$E$115:$E$116</c:f>
              <c:numCache>
                <c:ptCount val="2"/>
                <c:pt idx="0">
                  <c:v>0</c:v>
                </c:pt>
                <c:pt idx="1">
                  <c:v>-683.6802697725087</c:v>
                </c:pt>
              </c:numCache>
            </c:numRef>
          </c:xVal>
          <c:yVal>
            <c:numRef>
              <c:f>Datenbasis!$F$115:$F$116</c:f>
              <c:numCache>
                <c:ptCount val="2"/>
                <c:pt idx="0">
                  <c:v>-38.71440037391269</c:v>
                </c:pt>
                <c:pt idx="1">
                  <c:v>-38.71440037391269</c:v>
                </c:pt>
              </c:numCache>
            </c:numRef>
          </c:yVal>
          <c:smooth val="0"/>
        </c:ser>
        <c:ser>
          <c:idx val="4"/>
          <c:order val="4"/>
          <c:tx>
            <c:v>Gurt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Datenbasis!$G$120:$G$121</c:f>
              <c:numCache>
                <c:ptCount val="2"/>
                <c:pt idx="0">
                  <c:v>-341.84013488625436</c:v>
                </c:pt>
                <c:pt idx="1">
                  <c:v>0</c:v>
                </c:pt>
              </c:numCache>
            </c:numRef>
          </c:xVal>
          <c:yVal>
            <c:numRef>
              <c:f>Datenbasis!$H$120:$H$121</c:f>
              <c:numCache>
                <c:ptCount val="2"/>
                <c:pt idx="0">
                  <c:v>-43.333333333333336</c:v>
                </c:pt>
                <c:pt idx="1">
                  <c:v>-43.333333333333336</c:v>
                </c:pt>
              </c:numCache>
            </c:numRef>
          </c:yVal>
          <c:smooth val="0"/>
        </c:ser>
        <c:ser>
          <c:idx val="5"/>
          <c:order val="5"/>
          <c:tx>
            <c:v>Voute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Datenbasis!$G$122:$G$123</c:f>
              <c:numCache>
                <c:ptCount val="2"/>
                <c:pt idx="0">
                  <c:v>-341.84013488625436</c:v>
                </c:pt>
                <c:pt idx="1">
                  <c:v>0</c:v>
                </c:pt>
              </c:numCache>
            </c:numRef>
          </c:xVal>
          <c:yVal>
            <c:numRef>
              <c:f>Datenbasis!$H$122:$H$123</c:f>
              <c:numCache>
                <c:ptCount val="2"/>
                <c:pt idx="0">
                  <c:v>56.666666666666664</c:v>
                </c:pt>
                <c:pt idx="1">
                  <c:v>56.666666666666664</c:v>
                </c:pt>
              </c:numCache>
            </c:numRef>
          </c:yVal>
          <c:smooth val="0"/>
        </c:ser>
        <c:axId val="5349368"/>
        <c:axId val="48144313"/>
      </c:scatterChart>
      <c:valAx>
        <c:axId val="534936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4313"/>
        <c:crosses val="autoZero"/>
        <c:crossBetween val="midCat"/>
        <c:dispUnits/>
        <c:minorUnit val="100"/>
      </c:valAx>
      <c:valAx>
        <c:axId val="48144313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36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96"/>
          <c:h val="1"/>
        </c:manualLayout>
      </c:layout>
      <c:scatterChart>
        <c:scatterStyle val="smoothMarker"/>
        <c:varyColors val="0"/>
        <c:ser>
          <c:idx val="0"/>
          <c:order val="0"/>
          <c:tx>
            <c:v>x/d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Datenbasis!$V$23:$V$124</c:f>
              <c:numCache>
                <c:ptCount val="102"/>
                <c:pt idx="0">
                  <c:v>0</c:v>
                </c:pt>
                <c:pt idx="1">
                  <c:v>1.7523990987094498</c:v>
                </c:pt>
                <c:pt idx="2">
                  <c:v>6.86874042001896</c:v>
                </c:pt>
                <c:pt idx="3">
                  <c:v>15.15551137948109</c:v>
                </c:pt>
                <c:pt idx="4">
                  <c:v>26.41422505364108</c:v>
                </c:pt>
                <c:pt idx="5">
                  <c:v>40.44125874535816</c:v>
                </c:pt>
                <c:pt idx="6">
                  <c:v>57.02768678793358</c:v>
                </c:pt>
                <c:pt idx="7">
                  <c:v>75.95910735965984</c:v>
                </c:pt>
                <c:pt idx="8">
                  <c:v>97.01546307037479</c:v>
                </c:pt>
                <c:pt idx="9">
                  <c:v>119.97085507108407</c:v>
                </c:pt>
                <c:pt idx="10">
                  <c:v>144.59335042667004</c:v>
                </c:pt>
                <c:pt idx="11">
                  <c:v>170.6447824801597</c:v>
                </c:pt>
                <c:pt idx="12">
                  <c:v>197.88054392485208</c:v>
                </c:pt>
                <c:pt idx="13">
                  <c:v>226.04937228789032</c:v>
                </c:pt>
                <c:pt idx="14">
                  <c:v>254.89312751548957</c:v>
                </c:pt>
                <c:pt idx="15">
                  <c:v>284.1465613359823</c:v>
                </c:pt>
                <c:pt idx="16">
                  <c:v>313.5370780621309</c:v>
                </c:pt>
                <c:pt idx="17">
                  <c:v>342.7844864786586</c:v>
                </c:pt>
                <c:pt idx="18">
                  <c:v>371.71359109136944</c:v>
                </c:pt>
                <c:pt idx="19">
                  <c:v>400.3228784909245</c:v>
                </c:pt>
                <c:pt idx="20">
                  <c:v>428.61486679875526</c:v>
                </c:pt>
                <c:pt idx="21">
                  <c:v>456.5913294894908</c:v>
                </c:pt>
                <c:pt idx="22">
                  <c:v>484.2539350962197</c:v>
                </c:pt>
                <c:pt idx="23">
                  <c:v>511.6043523959075</c:v>
                </c:pt>
                <c:pt idx="24">
                  <c:v>538.644250415847</c:v>
                </c:pt>
                <c:pt idx="25">
                  <c:v>565.375298440316</c:v>
                </c:pt>
                <c:pt idx="26">
                  <c:v>591.7991660174439</c:v>
                </c:pt>
                <c:pt idx="27">
                  <c:v>617.9175229663049</c:v>
                </c:pt>
                <c:pt idx="28">
                  <c:v>641.2869853898341</c:v>
                </c:pt>
                <c:pt idx="29">
                  <c:v>661.2874403681135</c:v>
                </c:pt>
                <c:pt idx="30">
                  <c:v>681.09186843656</c:v>
                </c:pt>
                <c:pt idx="31">
                  <c:v>700.7129796507596</c:v>
                </c:pt>
                <c:pt idx="32">
                  <c:v>720.1412741902436</c:v>
                </c:pt>
                <c:pt idx="33">
                  <c:v>739.3849785527273</c:v>
                </c:pt>
                <c:pt idx="34">
                  <c:v>758.4420145102155</c:v>
                </c:pt>
                <c:pt idx="35">
                  <c:v>777.3112355768576</c:v>
                </c:pt>
                <c:pt idx="36">
                  <c:v>795.9991237636605</c:v>
                </c:pt>
                <c:pt idx="37">
                  <c:v>814.4993184267983</c:v>
                </c:pt>
                <c:pt idx="38">
                  <c:v>832.8202384920296</c:v>
                </c:pt>
                <c:pt idx="39">
                  <c:v>850.9566568882599</c:v>
                </c:pt>
                <c:pt idx="40">
                  <c:v>868.913222593338</c:v>
                </c:pt>
                <c:pt idx="41">
                  <c:v>886.6900824507799</c:v>
                </c:pt>
                <c:pt idx="42">
                  <c:v>904.2857408199358</c:v>
                </c:pt>
                <c:pt idx="43">
                  <c:v>921.7055815459016</c:v>
                </c:pt>
                <c:pt idx="44">
                  <c:v>938.9453269079875</c:v>
                </c:pt>
                <c:pt idx="45">
                  <c:v>956.0108749417054</c:v>
                </c:pt>
                <c:pt idx="46">
                  <c:v>972.8994282275721</c:v>
                </c:pt>
                <c:pt idx="47">
                  <c:v>989.6136547246267</c:v>
                </c:pt>
                <c:pt idx="48">
                  <c:v>1006.154828039262</c:v>
                </c:pt>
                <c:pt idx="49">
                  <c:v>1022.5214986266839</c:v>
                </c:pt>
                <c:pt idx="50">
                  <c:v>1038.7181464720559</c:v>
                </c:pt>
                <c:pt idx="51">
                  <c:v>1054.7471606738982</c:v>
                </c:pt>
                <c:pt idx="52">
                  <c:v>1070.613896246767</c:v>
                </c:pt>
                <c:pt idx="53">
                  <c:v>1086.3099770325298</c:v>
                </c:pt>
                <c:pt idx="54">
                  <c:v>1101.8369391787555</c:v>
                </c:pt>
                <c:pt idx="55">
                  <c:v>1117.196692592988</c:v>
                </c:pt>
                <c:pt idx="56">
                  <c:v>1132.388013693099</c:v>
                </c:pt>
                <c:pt idx="57">
                  <c:v>1147.4146883059368</c:v>
                </c:pt>
                <c:pt idx="58">
                  <c:v>1162.2748867799894</c:v>
                </c:pt>
                <c:pt idx="59">
                  <c:v>1176.9718325252002</c:v>
                </c:pt>
                <c:pt idx="60">
                  <c:v>1191.5052141380127</c:v>
                </c:pt>
                <c:pt idx="61">
                  <c:v>1205.8758958614876</c:v>
                </c:pt>
                <c:pt idx="62">
                  <c:v>1220.0860091095444</c:v>
                </c:pt>
                <c:pt idx="63">
                  <c:v>1234.134571711084</c:v>
                </c:pt>
                <c:pt idx="64">
                  <c:v>1248.02476620226</c:v>
                </c:pt>
                <c:pt idx="65">
                  <c:v>1261.755492097476</c:v>
                </c:pt>
                <c:pt idx="66">
                  <c:v>1275.3291882097221</c:v>
                </c:pt>
                <c:pt idx="67">
                  <c:v>1288.7461610714493</c:v>
                </c:pt>
                <c:pt idx="68">
                  <c:v>1302.0069163306064</c:v>
                </c:pt>
                <c:pt idx="69">
                  <c:v>1315.1136158323986</c:v>
                </c:pt>
                <c:pt idx="70">
                  <c:v>1328.0655421121137</c:v>
                </c:pt>
                <c:pt idx="71">
                  <c:v>1340.8653909085801</c:v>
                </c:pt>
                <c:pt idx="72">
                  <c:v>1353.5126168933361</c:v>
                </c:pt>
                <c:pt idx="73">
                  <c:v>1366.0090886628388</c:v>
                </c:pt>
                <c:pt idx="74">
                  <c:v>1378.3555321800843</c:v>
                </c:pt>
                <c:pt idx="75">
                  <c:v>1390.552270495521</c:v>
                </c:pt>
                <c:pt idx="76">
                  <c:v>1402.6014012655814</c:v>
                </c:pt>
                <c:pt idx="77">
                  <c:v>1414.502464235129</c:v>
                </c:pt>
                <c:pt idx="78">
                  <c:v>1426.257758776574</c:v>
                </c:pt>
                <c:pt idx="79">
                  <c:v>1437.8671700997534</c:v>
                </c:pt>
                <c:pt idx="80">
                  <c:v>1449.3321427256733</c:v>
                </c:pt>
                <c:pt idx="81">
                  <c:v>1460.6536928465575</c:v>
                </c:pt>
                <c:pt idx="82">
                  <c:v>1471.8320626969976</c:v>
                </c:pt>
                <c:pt idx="83">
                  <c:v>1482.8692409425335</c:v>
                </c:pt>
                <c:pt idx="84">
                  <c:v>1493.7650046499612</c:v>
                </c:pt>
                <c:pt idx="85">
                  <c:v>1504.521328033528</c:v>
                </c:pt>
                <c:pt idx="86">
                  <c:v>1515.1384343955517</c:v>
                </c:pt>
                <c:pt idx="87">
                  <c:v>1525.617449036851</c:v>
                </c:pt>
                <c:pt idx="88">
                  <c:v>1535.9595898454168</c:v>
                </c:pt>
                <c:pt idx="89">
                  <c:v>1546.165078447797</c:v>
                </c:pt>
                <c:pt idx="90">
                  <c:v>1556.2357762431993</c:v>
                </c:pt>
                <c:pt idx="91">
                  <c:v>1566.171673589421</c:v>
                </c:pt>
                <c:pt idx="92">
                  <c:v>1575.9744763758376</c:v>
                </c:pt>
                <c:pt idx="93">
                  <c:v>1585.6446672453844</c:v>
                </c:pt>
                <c:pt idx="94">
                  <c:v>1595.183155231689</c:v>
                </c:pt>
                <c:pt idx="95">
                  <c:v>1604.5912719775006</c:v>
                </c:pt>
                <c:pt idx="96">
                  <c:v>1613.8692627066412</c:v>
                </c:pt>
                <c:pt idx="97">
                  <c:v>1623.0188576002508</c:v>
                </c:pt>
                <c:pt idx="98">
                  <c:v>1632.0402358766698</c:v>
                </c:pt>
                <c:pt idx="99">
                  <c:v>1640.9348810222573</c:v>
                </c:pt>
                <c:pt idx="100">
                  <c:v>1649.7034736087442</c:v>
                </c:pt>
                <c:pt idx="101">
                  <c:v>1658.346785806839</c:v>
                </c:pt>
              </c:numCache>
            </c:numRef>
          </c:xVal>
          <c:yVal>
            <c:numRef>
              <c:f>Datenbasis!$J$23:$J$124</c:f>
              <c:numCache>
                <c:ptCount val="102"/>
                <c:pt idx="0">
                  <c:v>0</c:v>
                </c:pt>
                <c:pt idx="1">
                  <c:v>0.004455445544554456</c:v>
                </c:pt>
                <c:pt idx="2">
                  <c:v>0.008910891089108912</c:v>
                </c:pt>
                <c:pt idx="3">
                  <c:v>0.013366336633663368</c:v>
                </c:pt>
                <c:pt idx="4">
                  <c:v>0.017821782178217824</c:v>
                </c:pt>
                <c:pt idx="5">
                  <c:v>0.02227722772277228</c:v>
                </c:pt>
                <c:pt idx="6">
                  <c:v>0.026732673267326736</c:v>
                </c:pt>
                <c:pt idx="7">
                  <c:v>0.03118811881188119</c:v>
                </c:pt>
                <c:pt idx="8">
                  <c:v>0.03564356435643565</c:v>
                </c:pt>
                <c:pt idx="9">
                  <c:v>0.04009900990099011</c:v>
                </c:pt>
                <c:pt idx="10">
                  <c:v>0.044554455445544566</c:v>
                </c:pt>
                <c:pt idx="11">
                  <c:v>0.049009900990099026</c:v>
                </c:pt>
                <c:pt idx="12">
                  <c:v>0.053465346534653485</c:v>
                </c:pt>
                <c:pt idx="13">
                  <c:v>0.057920792079207944</c:v>
                </c:pt>
                <c:pt idx="14">
                  <c:v>0.062376237623762404</c:v>
                </c:pt>
                <c:pt idx="15">
                  <c:v>0.06683168316831686</c:v>
                </c:pt>
                <c:pt idx="16">
                  <c:v>0.07128712871287132</c:v>
                </c:pt>
                <c:pt idx="17">
                  <c:v>0.07574257425742578</c:v>
                </c:pt>
                <c:pt idx="18">
                  <c:v>0.08019801980198024</c:v>
                </c:pt>
                <c:pt idx="19">
                  <c:v>0.0846534653465347</c:v>
                </c:pt>
                <c:pt idx="20">
                  <c:v>0.08910891089108916</c:v>
                </c:pt>
                <c:pt idx="21">
                  <c:v>0.09356435643564362</c:v>
                </c:pt>
                <c:pt idx="22">
                  <c:v>0.09801980198019808</c:v>
                </c:pt>
                <c:pt idx="23">
                  <c:v>0.10247524752475254</c:v>
                </c:pt>
                <c:pt idx="24">
                  <c:v>0.106930693069307</c:v>
                </c:pt>
                <c:pt idx="25">
                  <c:v>0.11138613861386146</c:v>
                </c:pt>
                <c:pt idx="26">
                  <c:v>0.11584158415841592</c:v>
                </c:pt>
                <c:pt idx="27">
                  <c:v>0.12029702970297038</c:v>
                </c:pt>
                <c:pt idx="28">
                  <c:v>0.12475247524752484</c:v>
                </c:pt>
                <c:pt idx="29">
                  <c:v>0.1292079207920793</c:v>
                </c:pt>
                <c:pt idx="30">
                  <c:v>0.13366336633663375</c:v>
                </c:pt>
                <c:pt idx="31">
                  <c:v>0.1381188118811882</c:v>
                </c:pt>
                <c:pt idx="32">
                  <c:v>0.14257425742574267</c:v>
                </c:pt>
                <c:pt idx="33">
                  <c:v>0.14702970297029713</c:v>
                </c:pt>
                <c:pt idx="34">
                  <c:v>0.1514851485148516</c:v>
                </c:pt>
                <c:pt idx="35">
                  <c:v>0.15594059405940605</c:v>
                </c:pt>
                <c:pt idx="36">
                  <c:v>0.1603960396039605</c:v>
                </c:pt>
                <c:pt idx="37">
                  <c:v>0.16485148514851497</c:v>
                </c:pt>
                <c:pt idx="38">
                  <c:v>0.16930693069306943</c:v>
                </c:pt>
                <c:pt idx="39">
                  <c:v>0.1737623762376239</c:v>
                </c:pt>
                <c:pt idx="40">
                  <c:v>0.17821782178217835</c:v>
                </c:pt>
                <c:pt idx="41">
                  <c:v>0.1826732673267328</c:v>
                </c:pt>
                <c:pt idx="42">
                  <c:v>0.18712871287128727</c:v>
                </c:pt>
                <c:pt idx="43">
                  <c:v>0.19158415841584173</c:v>
                </c:pt>
                <c:pt idx="44">
                  <c:v>0.19603960396039619</c:v>
                </c:pt>
                <c:pt idx="45">
                  <c:v>0.20049504950495065</c:v>
                </c:pt>
                <c:pt idx="46">
                  <c:v>0.2049504950495051</c:v>
                </c:pt>
                <c:pt idx="47">
                  <c:v>0.20940594059405956</c:v>
                </c:pt>
                <c:pt idx="48">
                  <c:v>0.21386138613861402</c:v>
                </c:pt>
                <c:pt idx="49">
                  <c:v>0.21831683168316848</c:v>
                </c:pt>
                <c:pt idx="50">
                  <c:v>0.22277227722772294</c:v>
                </c:pt>
                <c:pt idx="51">
                  <c:v>0.2272277227722774</c:v>
                </c:pt>
                <c:pt idx="52">
                  <c:v>0.23168316831683186</c:v>
                </c:pt>
                <c:pt idx="53">
                  <c:v>0.23613861386138632</c:v>
                </c:pt>
                <c:pt idx="54">
                  <c:v>0.24059405940594078</c:v>
                </c:pt>
                <c:pt idx="55">
                  <c:v>0.24504950495049524</c:v>
                </c:pt>
                <c:pt idx="56">
                  <c:v>0.2495049504950497</c:v>
                </c:pt>
                <c:pt idx="57">
                  <c:v>0.25396039603960413</c:v>
                </c:pt>
                <c:pt idx="58">
                  <c:v>0.2584158415841586</c:v>
                </c:pt>
                <c:pt idx="59">
                  <c:v>0.26287128712871305</c:v>
                </c:pt>
                <c:pt idx="60">
                  <c:v>0.2673267326732675</c:v>
                </c:pt>
                <c:pt idx="61">
                  <c:v>0.27178217821782197</c:v>
                </c:pt>
                <c:pt idx="62">
                  <c:v>0.2762376237623764</c:v>
                </c:pt>
                <c:pt idx="63">
                  <c:v>0.2806930693069309</c:v>
                </c:pt>
                <c:pt idx="64">
                  <c:v>0.28514851485148535</c:v>
                </c:pt>
                <c:pt idx="65">
                  <c:v>0.2896039603960398</c:v>
                </c:pt>
                <c:pt idx="66">
                  <c:v>0.29405940594059427</c:v>
                </c:pt>
                <c:pt idx="67">
                  <c:v>0.2985148514851487</c:v>
                </c:pt>
                <c:pt idx="68">
                  <c:v>0.3029702970297032</c:v>
                </c:pt>
                <c:pt idx="69">
                  <c:v>0.30742574257425764</c:v>
                </c:pt>
                <c:pt idx="70">
                  <c:v>0.3118811881188121</c:v>
                </c:pt>
                <c:pt idx="71">
                  <c:v>0.31633663366336656</c:v>
                </c:pt>
                <c:pt idx="72">
                  <c:v>0.320792079207921</c:v>
                </c:pt>
                <c:pt idx="73">
                  <c:v>0.3252475247524755</c:v>
                </c:pt>
                <c:pt idx="74">
                  <c:v>0.32970297029702994</c:v>
                </c:pt>
                <c:pt idx="75">
                  <c:v>0.3341584158415844</c:v>
                </c:pt>
                <c:pt idx="76">
                  <c:v>0.33861386138613886</c:v>
                </c:pt>
                <c:pt idx="77">
                  <c:v>0.3430693069306933</c:v>
                </c:pt>
                <c:pt idx="78">
                  <c:v>0.3475247524752478</c:v>
                </c:pt>
                <c:pt idx="79">
                  <c:v>0.35198019801980224</c:v>
                </c:pt>
                <c:pt idx="80">
                  <c:v>0.3564356435643567</c:v>
                </c:pt>
                <c:pt idx="81">
                  <c:v>0.36089108910891116</c:v>
                </c:pt>
                <c:pt idx="82">
                  <c:v>0.3653465346534656</c:v>
                </c:pt>
                <c:pt idx="83">
                  <c:v>0.3698019801980201</c:v>
                </c:pt>
                <c:pt idx="84">
                  <c:v>0.37425742574257453</c:v>
                </c:pt>
                <c:pt idx="85">
                  <c:v>0.378712871287129</c:v>
                </c:pt>
                <c:pt idx="86">
                  <c:v>0.38316831683168345</c:v>
                </c:pt>
                <c:pt idx="87">
                  <c:v>0.3876237623762379</c:v>
                </c:pt>
                <c:pt idx="88">
                  <c:v>0.39207920792079237</c:v>
                </c:pt>
                <c:pt idx="89">
                  <c:v>0.39653465346534683</c:v>
                </c:pt>
                <c:pt idx="90">
                  <c:v>0.4009900990099013</c:v>
                </c:pt>
                <c:pt idx="91">
                  <c:v>0.40544554455445575</c:v>
                </c:pt>
                <c:pt idx="92">
                  <c:v>0.4099009900990102</c:v>
                </c:pt>
                <c:pt idx="93">
                  <c:v>0.41435643564356467</c:v>
                </c:pt>
                <c:pt idx="94">
                  <c:v>0.41881188118811913</c:v>
                </c:pt>
                <c:pt idx="95">
                  <c:v>0.4232673267326736</c:v>
                </c:pt>
                <c:pt idx="96">
                  <c:v>0.42772277227722805</c:v>
                </c:pt>
                <c:pt idx="97">
                  <c:v>0.4321782178217825</c:v>
                </c:pt>
                <c:pt idx="98">
                  <c:v>0.43663366336633697</c:v>
                </c:pt>
                <c:pt idx="99">
                  <c:v>0.4410891089108914</c:v>
                </c:pt>
                <c:pt idx="100">
                  <c:v>0.4455445544554459</c:v>
                </c:pt>
                <c:pt idx="101">
                  <c:v>0.45000000000000034</c:v>
                </c:pt>
              </c:numCache>
            </c:numRef>
          </c:yVal>
          <c:smooth val="1"/>
        </c:ser>
        <c:ser>
          <c:idx val="1"/>
          <c:order val="1"/>
          <c:tx>
            <c:v>z/d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Datenbasis!$V$23:$V$124</c:f>
              <c:numCache>
                <c:ptCount val="102"/>
                <c:pt idx="0">
                  <c:v>0</c:v>
                </c:pt>
                <c:pt idx="1">
                  <c:v>1.7523990987094498</c:v>
                </c:pt>
                <c:pt idx="2">
                  <c:v>6.86874042001896</c:v>
                </c:pt>
                <c:pt idx="3">
                  <c:v>15.15551137948109</c:v>
                </c:pt>
                <c:pt idx="4">
                  <c:v>26.41422505364108</c:v>
                </c:pt>
                <c:pt idx="5">
                  <c:v>40.44125874535816</c:v>
                </c:pt>
                <c:pt idx="6">
                  <c:v>57.02768678793358</c:v>
                </c:pt>
                <c:pt idx="7">
                  <c:v>75.95910735965984</c:v>
                </c:pt>
                <c:pt idx="8">
                  <c:v>97.01546307037479</c:v>
                </c:pt>
                <c:pt idx="9">
                  <c:v>119.97085507108407</c:v>
                </c:pt>
                <c:pt idx="10">
                  <c:v>144.59335042667004</c:v>
                </c:pt>
                <c:pt idx="11">
                  <c:v>170.6447824801597</c:v>
                </c:pt>
                <c:pt idx="12">
                  <c:v>197.88054392485208</c:v>
                </c:pt>
                <c:pt idx="13">
                  <c:v>226.04937228789032</c:v>
                </c:pt>
                <c:pt idx="14">
                  <c:v>254.89312751548957</c:v>
                </c:pt>
                <c:pt idx="15">
                  <c:v>284.1465613359823</c:v>
                </c:pt>
                <c:pt idx="16">
                  <c:v>313.5370780621309</c:v>
                </c:pt>
                <c:pt idx="17">
                  <c:v>342.7844864786586</c:v>
                </c:pt>
                <c:pt idx="18">
                  <c:v>371.71359109136944</c:v>
                </c:pt>
                <c:pt idx="19">
                  <c:v>400.3228784909245</c:v>
                </c:pt>
                <c:pt idx="20">
                  <c:v>428.61486679875526</c:v>
                </c:pt>
                <c:pt idx="21">
                  <c:v>456.5913294894908</c:v>
                </c:pt>
                <c:pt idx="22">
                  <c:v>484.2539350962197</c:v>
                </c:pt>
                <c:pt idx="23">
                  <c:v>511.6043523959075</c:v>
                </c:pt>
                <c:pt idx="24">
                  <c:v>538.644250415847</c:v>
                </c:pt>
                <c:pt idx="25">
                  <c:v>565.375298440316</c:v>
                </c:pt>
                <c:pt idx="26">
                  <c:v>591.7991660174439</c:v>
                </c:pt>
                <c:pt idx="27">
                  <c:v>617.9175229663049</c:v>
                </c:pt>
                <c:pt idx="28">
                  <c:v>641.2869853898341</c:v>
                </c:pt>
                <c:pt idx="29">
                  <c:v>661.2874403681135</c:v>
                </c:pt>
                <c:pt idx="30">
                  <c:v>681.09186843656</c:v>
                </c:pt>
                <c:pt idx="31">
                  <c:v>700.7129796507596</c:v>
                </c:pt>
                <c:pt idx="32">
                  <c:v>720.1412741902436</c:v>
                </c:pt>
                <c:pt idx="33">
                  <c:v>739.3849785527273</c:v>
                </c:pt>
                <c:pt idx="34">
                  <c:v>758.4420145102155</c:v>
                </c:pt>
                <c:pt idx="35">
                  <c:v>777.3112355768576</c:v>
                </c:pt>
                <c:pt idx="36">
                  <c:v>795.9991237636605</c:v>
                </c:pt>
                <c:pt idx="37">
                  <c:v>814.4993184267983</c:v>
                </c:pt>
                <c:pt idx="38">
                  <c:v>832.8202384920296</c:v>
                </c:pt>
                <c:pt idx="39">
                  <c:v>850.9566568882599</c:v>
                </c:pt>
                <c:pt idx="40">
                  <c:v>868.913222593338</c:v>
                </c:pt>
                <c:pt idx="41">
                  <c:v>886.6900824507799</c:v>
                </c:pt>
                <c:pt idx="42">
                  <c:v>904.2857408199358</c:v>
                </c:pt>
                <c:pt idx="43">
                  <c:v>921.7055815459016</c:v>
                </c:pt>
                <c:pt idx="44">
                  <c:v>938.9453269079875</c:v>
                </c:pt>
                <c:pt idx="45">
                  <c:v>956.0108749417054</c:v>
                </c:pt>
                <c:pt idx="46">
                  <c:v>972.8994282275721</c:v>
                </c:pt>
                <c:pt idx="47">
                  <c:v>989.6136547246267</c:v>
                </c:pt>
                <c:pt idx="48">
                  <c:v>1006.154828039262</c:v>
                </c:pt>
                <c:pt idx="49">
                  <c:v>1022.5214986266839</c:v>
                </c:pt>
                <c:pt idx="50">
                  <c:v>1038.7181464720559</c:v>
                </c:pt>
                <c:pt idx="51">
                  <c:v>1054.7471606738982</c:v>
                </c:pt>
                <c:pt idx="52">
                  <c:v>1070.613896246767</c:v>
                </c:pt>
                <c:pt idx="53">
                  <c:v>1086.3099770325298</c:v>
                </c:pt>
                <c:pt idx="54">
                  <c:v>1101.8369391787555</c:v>
                </c:pt>
                <c:pt idx="55">
                  <c:v>1117.196692592988</c:v>
                </c:pt>
                <c:pt idx="56">
                  <c:v>1132.388013693099</c:v>
                </c:pt>
                <c:pt idx="57">
                  <c:v>1147.4146883059368</c:v>
                </c:pt>
                <c:pt idx="58">
                  <c:v>1162.2748867799894</c:v>
                </c:pt>
                <c:pt idx="59">
                  <c:v>1176.9718325252002</c:v>
                </c:pt>
                <c:pt idx="60">
                  <c:v>1191.5052141380127</c:v>
                </c:pt>
                <c:pt idx="61">
                  <c:v>1205.8758958614876</c:v>
                </c:pt>
                <c:pt idx="62">
                  <c:v>1220.0860091095444</c:v>
                </c:pt>
                <c:pt idx="63">
                  <c:v>1234.134571711084</c:v>
                </c:pt>
                <c:pt idx="64">
                  <c:v>1248.02476620226</c:v>
                </c:pt>
                <c:pt idx="65">
                  <c:v>1261.755492097476</c:v>
                </c:pt>
                <c:pt idx="66">
                  <c:v>1275.3291882097221</c:v>
                </c:pt>
                <c:pt idx="67">
                  <c:v>1288.7461610714493</c:v>
                </c:pt>
                <c:pt idx="68">
                  <c:v>1302.0069163306064</c:v>
                </c:pt>
                <c:pt idx="69">
                  <c:v>1315.1136158323986</c:v>
                </c:pt>
                <c:pt idx="70">
                  <c:v>1328.0655421121137</c:v>
                </c:pt>
                <c:pt idx="71">
                  <c:v>1340.8653909085801</c:v>
                </c:pt>
                <c:pt idx="72">
                  <c:v>1353.5126168933361</c:v>
                </c:pt>
                <c:pt idx="73">
                  <c:v>1366.0090886628388</c:v>
                </c:pt>
                <c:pt idx="74">
                  <c:v>1378.3555321800843</c:v>
                </c:pt>
                <c:pt idx="75">
                  <c:v>1390.552270495521</c:v>
                </c:pt>
                <c:pt idx="76">
                  <c:v>1402.6014012655814</c:v>
                </c:pt>
                <c:pt idx="77">
                  <c:v>1414.502464235129</c:v>
                </c:pt>
                <c:pt idx="78">
                  <c:v>1426.257758776574</c:v>
                </c:pt>
                <c:pt idx="79">
                  <c:v>1437.8671700997534</c:v>
                </c:pt>
                <c:pt idx="80">
                  <c:v>1449.3321427256733</c:v>
                </c:pt>
                <c:pt idx="81">
                  <c:v>1460.6536928465575</c:v>
                </c:pt>
                <c:pt idx="82">
                  <c:v>1471.8320626969976</c:v>
                </c:pt>
                <c:pt idx="83">
                  <c:v>1482.8692409425335</c:v>
                </c:pt>
                <c:pt idx="84">
                  <c:v>1493.7650046499612</c:v>
                </c:pt>
                <c:pt idx="85">
                  <c:v>1504.521328033528</c:v>
                </c:pt>
                <c:pt idx="86">
                  <c:v>1515.1384343955517</c:v>
                </c:pt>
                <c:pt idx="87">
                  <c:v>1525.617449036851</c:v>
                </c:pt>
                <c:pt idx="88">
                  <c:v>1535.9595898454168</c:v>
                </c:pt>
                <c:pt idx="89">
                  <c:v>1546.165078447797</c:v>
                </c:pt>
                <c:pt idx="90">
                  <c:v>1556.2357762431993</c:v>
                </c:pt>
                <c:pt idx="91">
                  <c:v>1566.171673589421</c:v>
                </c:pt>
                <c:pt idx="92">
                  <c:v>1575.9744763758376</c:v>
                </c:pt>
                <c:pt idx="93">
                  <c:v>1585.6446672453844</c:v>
                </c:pt>
                <c:pt idx="94">
                  <c:v>1595.183155231689</c:v>
                </c:pt>
                <c:pt idx="95">
                  <c:v>1604.5912719775006</c:v>
                </c:pt>
                <c:pt idx="96">
                  <c:v>1613.8692627066412</c:v>
                </c:pt>
                <c:pt idx="97">
                  <c:v>1623.0188576002508</c:v>
                </c:pt>
                <c:pt idx="98">
                  <c:v>1632.0402358766698</c:v>
                </c:pt>
                <c:pt idx="99">
                  <c:v>1640.9348810222573</c:v>
                </c:pt>
                <c:pt idx="100">
                  <c:v>1649.7034736087442</c:v>
                </c:pt>
                <c:pt idx="101">
                  <c:v>1658.346785806839</c:v>
                </c:pt>
              </c:numCache>
            </c:numRef>
          </c:xVal>
          <c:yVal>
            <c:numRef>
              <c:f>Datenbasis!$S$23:$S$124</c:f>
              <c:numCache>
                <c:ptCount val="102"/>
                <c:pt idx="0">
                  <c:v>1</c:v>
                </c:pt>
                <c:pt idx="1">
                  <c:v>0.9977521489971346</c:v>
                </c:pt>
                <c:pt idx="2">
                  <c:v>0.9966296798226882</c:v>
                </c:pt>
                <c:pt idx="3">
                  <c:v>0.9952414276658522</c:v>
                </c:pt>
                <c:pt idx="4">
                  <c:v>0.9937756198799859</c:v>
                </c:pt>
                <c:pt idx="5">
                  <c:v>0.992268999424949</c:v>
                </c:pt>
                <c:pt idx="6">
                  <c:v>0.9907328416978064</c:v>
                </c:pt>
                <c:pt idx="7">
                  <c:v>0.9891710134226762</c:v>
                </c:pt>
                <c:pt idx="8">
                  <c:v>0.9875844773242308</c:v>
                </c:pt>
                <c:pt idx="9">
                  <c:v>0.9859727758044802</c:v>
                </c:pt>
                <c:pt idx="10">
                  <c:v>0.9843346035561207</c:v>
                </c:pt>
                <c:pt idx="11">
                  <c:v>0.9826680443540258</c:v>
                </c:pt>
                <c:pt idx="12">
                  <c:v>0.9809706629034464</c:v>
                </c:pt>
                <c:pt idx="13">
                  <c:v>0.9792395239743074</c:v>
                </c:pt>
                <c:pt idx="14">
                  <c:v>0.9774711682922927</c:v>
                </c:pt>
                <c:pt idx="15">
                  <c:v>0.9756615570910868</c:v>
                </c:pt>
                <c:pt idx="16">
                  <c:v>0.9738059889558552</c:v>
                </c:pt>
                <c:pt idx="17">
                  <c:v>0.9718989879267893</c:v>
                </c:pt>
                <c:pt idx="18">
                  <c:v>0.9699423683656616</c:v>
                </c:pt>
                <c:pt idx="19">
                  <c:v>0.9679484210476199</c:v>
                </c:pt>
                <c:pt idx="20">
                  <c:v>0.9659262086444207</c:v>
                </c:pt>
                <c:pt idx="21">
                  <c:v>0.9638823693699038</c:v>
                </c:pt>
                <c:pt idx="22">
                  <c:v>0.961821903583205</c:v>
                </c:pt>
                <c:pt idx="23">
                  <c:v>0.9597486566162787</c:v>
                </c:pt>
                <c:pt idx="24">
                  <c:v>0.9576656375142866</c:v>
                </c:pt>
                <c:pt idx="25">
                  <c:v>0.9555752378132547</c:v>
                </c:pt>
                <c:pt idx="26">
                  <c:v>0.9534793851149227</c:v>
                </c:pt>
                <c:pt idx="27">
                  <c:v>0.9513796530587301</c:v>
                </c:pt>
                <c:pt idx="28">
                  <c:v>0.9494296007126892</c:v>
                </c:pt>
                <c:pt idx="29">
                  <c:v>0.9476781555046541</c:v>
                </c:pt>
                <c:pt idx="30">
                  <c:v>0.945930591885697</c:v>
                </c:pt>
                <c:pt idx="31">
                  <c:v>0.9441868957382499</c:v>
                </c:pt>
                <c:pt idx="32">
                  <c:v>0.9424471629419306</c:v>
                </c:pt>
                <c:pt idx="33">
                  <c:v>0.9407113697336442</c:v>
                </c:pt>
                <c:pt idx="34">
                  <c:v>0.9389795931384167</c:v>
                </c:pt>
                <c:pt idx="35">
                  <c:v>0.937251852595398</c:v>
                </c:pt>
                <c:pt idx="36">
                  <c:v>0.9355281725201826</c:v>
                </c:pt>
                <c:pt idx="37">
                  <c:v>0.9338086171302165</c:v>
                </c:pt>
                <c:pt idx="38">
                  <c:v>0.9320931791407271</c:v>
                </c:pt>
                <c:pt idx="39">
                  <c:v>0.9303819363313817</c:v>
                </c:pt>
                <c:pt idx="40">
                  <c:v>0.9286748876628056</c:v>
                </c:pt>
                <c:pt idx="41">
                  <c:v>0.9269720883296027</c:v>
                </c:pt>
                <c:pt idx="42">
                  <c:v>0.9252735740260539</c:v>
                </c:pt>
                <c:pt idx="43">
                  <c:v>0.9235793620860935</c:v>
                </c:pt>
                <c:pt idx="44">
                  <c:v>0.9218895169126448</c:v>
                </c:pt>
                <c:pt idx="45">
                  <c:v>0.9202040401866263</c:v>
                </c:pt>
                <c:pt idx="46">
                  <c:v>0.9185229987272873</c:v>
                </c:pt>
                <c:pt idx="47">
                  <c:v>0.9168464076269087</c:v>
                </c:pt>
                <c:pt idx="48">
                  <c:v>0.9151743108045524</c:v>
                </c:pt>
                <c:pt idx="49">
                  <c:v>0.913506753542478</c:v>
                </c:pt>
                <c:pt idx="50">
                  <c:v>0.9118437526782894</c:v>
                </c:pt>
                <c:pt idx="51">
                  <c:v>0.910184565175611</c:v>
                </c:pt>
                <c:pt idx="52">
                  <c:v>0.9085290125525863</c:v>
                </c:pt>
                <c:pt idx="53">
                  <c:v>0.9068782335287662</c:v>
                </c:pt>
                <c:pt idx="54">
                  <c:v>0.9052322513641968</c:v>
                </c:pt>
                <c:pt idx="55">
                  <c:v>0.9035910999129466</c:v>
                </c:pt>
                <c:pt idx="56">
                  <c:v>0.9019548272211194</c:v>
                </c:pt>
                <c:pt idx="57">
                  <c:v>0.9003234490910701</c:v>
                </c:pt>
                <c:pt idx="58">
                  <c:v>0.8986970252916539</c:v>
                </c:pt>
                <c:pt idx="59">
                  <c:v>0.8970755717729527</c:v>
                </c:pt>
                <c:pt idx="60">
                  <c:v>0.8954591412582841</c:v>
                </c:pt>
                <c:pt idx="61">
                  <c:v>0.8938477684638703</c:v>
                </c:pt>
                <c:pt idx="62">
                  <c:v>0.8922414863903797</c:v>
                </c:pt>
                <c:pt idx="63">
                  <c:v>0.8906403493035255</c:v>
                </c:pt>
                <c:pt idx="64">
                  <c:v>0.8890443782692515</c:v>
                </c:pt>
                <c:pt idx="65">
                  <c:v>0.8874536339504104</c:v>
                </c:pt>
                <c:pt idx="66">
                  <c:v>0.8858681415025954</c:v>
                </c:pt>
                <c:pt idx="67">
                  <c:v>0.8842879522891155</c:v>
                </c:pt>
                <c:pt idx="68">
                  <c:v>0.8827131099634724</c:v>
                </c:pt>
                <c:pt idx="69">
                  <c:v>0.8811436484822968</c:v>
                </c:pt>
                <c:pt idx="70">
                  <c:v>0.8795796268324244</c:v>
                </c:pt>
                <c:pt idx="71">
                  <c:v>0.8780210717183515</c:v>
                </c:pt>
                <c:pt idx="72">
                  <c:v>0.8764680446614028</c:v>
                </c:pt>
                <c:pt idx="73">
                  <c:v>0.8749205793921704</c:v>
                </c:pt>
                <c:pt idx="74">
                  <c:v>0.8733787268802541</c:v>
                </c:pt>
                <c:pt idx="75">
                  <c:v>0.8718425383059984</c:v>
                </c:pt>
                <c:pt idx="76">
                  <c:v>0.8703120499548234</c:v>
                </c:pt>
                <c:pt idx="77">
                  <c:v>0.868787324820845</c:v>
                </c:pt>
                <c:pt idx="78">
                  <c:v>0.8672683956395016</c:v>
                </c:pt>
                <c:pt idx="79">
                  <c:v>0.8657553250216329</c:v>
                </c:pt>
                <c:pt idx="80">
                  <c:v>0.8642481550197728</c:v>
                </c:pt>
                <c:pt idx="81">
                  <c:v>0.8627469370699954</c:v>
                </c:pt>
                <c:pt idx="82">
                  <c:v>0.861251729113379</c:v>
                </c:pt>
                <c:pt idx="83">
                  <c:v>0.8597625708783003</c:v>
                </c:pt>
                <c:pt idx="84">
                  <c:v>0.8582795290931693</c:v>
                </c:pt>
                <c:pt idx="85">
                  <c:v>0.8568026429513284</c:v>
                </c:pt>
                <c:pt idx="86">
                  <c:v>0.8553319765275187</c:v>
                </c:pt>
                <c:pt idx="87">
                  <c:v>0.8538675801772513</c:v>
                </c:pt>
                <c:pt idx="88">
                  <c:v>0.8524095066095891</c:v>
                </c:pt>
                <c:pt idx="89">
                  <c:v>0.8509578201627245</c:v>
                </c:pt>
                <c:pt idx="90">
                  <c:v>0.8495125649757295</c:v>
                </c:pt>
                <c:pt idx="91">
                  <c:v>0.8480738115124538</c:v>
                </c:pt>
                <c:pt idx="92">
                  <c:v>0.8466416059004327</c:v>
                </c:pt>
                <c:pt idx="93">
                  <c:v>0.8452160142702031</c:v>
                </c:pt>
                <c:pt idx="94">
                  <c:v>0.8437970950546332</c:v>
                </c:pt>
                <c:pt idx="95">
                  <c:v>0.8423849033992108</c:v>
                </c:pt>
                <c:pt idx="96">
                  <c:v>0.840979509826375</c:v>
                </c:pt>
                <c:pt idx="97">
                  <c:v>0.8395809637808668</c:v>
                </c:pt>
                <c:pt idx="98">
                  <c:v>0.838189339653069</c:v>
                </c:pt>
                <c:pt idx="99">
                  <c:v>0.8368046910432221</c:v>
                </c:pt>
                <c:pt idx="100">
                  <c:v>0.8354270868225007</c:v>
                </c:pt>
                <c:pt idx="101">
                  <c:v>0.8340565933558419</c:v>
                </c:pt>
              </c:numCache>
            </c:numRef>
          </c:yVal>
          <c:smooth val="1"/>
        </c:ser>
        <c:ser>
          <c:idx val="2"/>
          <c:order val="2"/>
          <c:tx>
            <c:v>a/x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Datenbasis!$V$23:$V$124</c:f>
              <c:numCache>
                <c:ptCount val="102"/>
                <c:pt idx="0">
                  <c:v>0</c:v>
                </c:pt>
                <c:pt idx="1">
                  <c:v>1.7523990987094498</c:v>
                </c:pt>
                <c:pt idx="2">
                  <c:v>6.86874042001896</c:v>
                </c:pt>
                <c:pt idx="3">
                  <c:v>15.15551137948109</c:v>
                </c:pt>
                <c:pt idx="4">
                  <c:v>26.41422505364108</c:v>
                </c:pt>
                <c:pt idx="5">
                  <c:v>40.44125874535816</c:v>
                </c:pt>
                <c:pt idx="6">
                  <c:v>57.02768678793358</c:v>
                </c:pt>
                <c:pt idx="7">
                  <c:v>75.95910735965984</c:v>
                </c:pt>
                <c:pt idx="8">
                  <c:v>97.01546307037479</c:v>
                </c:pt>
                <c:pt idx="9">
                  <c:v>119.97085507108407</c:v>
                </c:pt>
                <c:pt idx="10">
                  <c:v>144.59335042667004</c:v>
                </c:pt>
                <c:pt idx="11">
                  <c:v>170.6447824801597</c:v>
                </c:pt>
                <c:pt idx="12">
                  <c:v>197.88054392485208</c:v>
                </c:pt>
                <c:pt idx="13">
                  <c:v>226.04937228789032</c:v>
                </c:pt>
                <c:pt idx="14">
                  <c:v>254.89312751548957</c:v>
                </c:pt>
                <c:pt idx="15">
                  <c:v>284.1465613359823</c:v>
                </c:pt>
                <c:pt idx="16">
                  <c:v>313.5370780621309</c:v>
                </c:pt>
                <c:pt idx="17">
                  <c:v>342.7844864786586</c:v>
                </c:pt>
                <c:pt idx="18">
                  <c:v>371.71359109136944</c:v>
                </c:pt>
                <c:pt idx="19">
                  <c:v>400.3228784909245</c:v>
                </c:pt>
                <c:pt idx="20">
                  <c:v>428.61486679875526</c:v>
                </c:pt>
                <c:pt idx="21">
                  <c:v>456.5913294894908</c:v>
                </c:pt>
                <c:pt idx="22">
                  <c:v>484.2539350962197</c:v>
                </c:pt>
                <c:pt idx="23">
                  <c:v>511.6043523959075</c:v>
                </c:pt>
                <c:pt idx="24">
                  <c:v>538.644250415847</c:v>
                </c:pt>
                <c:pt idx="25">
                  <c:v>565.375298440316</c:v>
                </c:pt>
                <c:pt idx="26">
                  <c:v>591.7991660174439</c:v>
                </c:pt>
                <c:pt idx="27">
                  <c:v>617.9175229663049</c:v>
                </c:pt>
                <c:pt idx="28">
                  <c:v>641.2869853898341</c:v>
                </c:pt>
                <c:pt idx="29">
                  <c:v>661.2874403681135</c:v>
                </c:pt>
                <c:pt idx="30">
                  <c:v>681.09186843656</c:v>
                </c:pt>
                <c:pt idx="31">
                  <c:v>700.7129796507596</c:v>
                </c:pt>
                <c:pt idx="32">
                  <c:v>720.1412741902436</c:v>
                </c:pt>
                <c:pt idx="33">
                  <c:v>739.3849785527273</c:v>
                </c:pt>
                <c:pt idx="34">
                  <c:v>758.4420145102155</c:v>
                </c:pt>
                <c:pt idx="35">
                  <c:v>777.3112355768576</c:v>
                </c:pt>
                <c:pt idx="36">
                  <c:v>795.9991237636605</c:v>
                </c:pt>
                <c:pt idx="37">
                  <c:v>814.4993184267983</c:v>
                </c:pt>
                <c:pt idx="38">
                  <c:v>832.8202384920296</c:v>
                </c:pt>
                <c:pt idx="39">
                  <c:v>850.9566568882599</c:v>
                </c:pt>
                <c:pt idx="40">
                  <c:v>868.913222593338</c:v>
                </c:pt>
                <c:pt idx="41">
                  <c:v>886.6900824507799</c:v>
                </c:pt>
                <c:pt idx="42">
                  <c:v>904.2857408199358</c:v>
                </c:pt>
                <c:pt idx="43">
                  <c:v>921.7055815459016</c:v>
                </c:pt>
                <c:pt idx="44">
                  <c:v>938.9453269079875</c:v>
                </c:pt>
                <c:pt idx="45">
                  <c:v>956.0108749417054</c:v>
                </c:pt>
                <c:pt idx="46">
                  <c:v>972.8994282275721</c:v>
                </c:pt>
                <c:pt idx="47">
                  <c:v>989.6136547246267</c:v>
                </c:pt>
                <c:pt idx="48">
                  <c:v>1006.154828039262</c:v>
                </c:pt>
                <c:pt idx="49">
                  <c:v>1022.5214986266839</c:v>
                </c:pt>
                <c:pt idx="50">
                  <c:v>1038.7181464720559</c:v>
                </c:pt>
                <c:pt idx="51">
                  <c:v>1054.7471606738982</c:v>
                </c:pt>
                <c:pt idx="52">
                  <c:v>1070.613896246767</c:v>
                </c:pt>
                <c:pt idx="53">
                  <c:v>1086.3099770325298</c:v>
                </c:pt>
                <c:pt idx="54">
                  <c:v>1101.8369391787555</c:v>
                </c:pt>
                <c:pt idx="55">
                  <c:v>1117.196692592988</c:v>
                </c:pt>
                <c:pt idx="56">
                  <c:v>1132.388013693099</c:v>
                </c:pt>
                <c:pt idx="57">
                  <c:v>1147.4146883059368</c:v>
                </c:pt>
                <c:pt idx="58">
                  <c:v>1162.2748867799894</c:v>
                </c:pt>
                <c:pt idx="59">
                  <c:v>1176.9718325252002</c:v>
                </c:pt>
                <c:pt idx="60">
                  <c:v>1191.5052141380127</c:v>
                </c:pt>
                <c:pt idx="61">
                  <c:v>1205.8758958614876</c:v>
                </c:pt>
                <c:pt idx="62">
                  <c:v>1220.0860091095444</c:v>
                </c:pt>
                <c:pt idx="63">
                  <c:v>1234.134571711084</c:v>
                </c:pt>
                <c:pt idx="64">
                  <c:v>1248.02476620226</c:v>
                </c:pt>
                <c:pt idx="65">
                  <c:v>1261.755492097476</c:v>
                </c:pt>
                <c:pt idx="66">
                  <c:v>1275.3291882097221</c:v>
                </c:pt>
                <c:pt idx="67">
                  <c:v>1288.7461610714493</c:v>
                </c:pt>
                <c:pt idx="68">
                  <c:v>1302.0069163306064</c:v>
                </c:pt>
                <c:pt idx="69">
                  <c:v>1315.1136158323986</c:v>
                </c:pt>
                <c:pt idx="70">
                  <c:v>1328.0655421121137</c:v>
                </c:pt>
                <c:pt idx="71">
                  <c:v>1340.8653909085801</c:v>
                </c:pt>
                <c:pt idx="72">
                  <c:v>1353.5126168933361</c:v>
                </c:pt>
                <c:pt idx="73">
                  <c:v>1366.0090886628388</c:v>
                </c:pt>
                <c:pt idx="74">
                  <c:v>1378.3555321800843</c:v>
                </c:pt>
                <c:pt idx="75">
                  <c:v>1390.552270495521</c:v>
                </c:pt>
                <c:pt idx="76">
                  <c:v>1402.6014012655814</c:v>
                </c:pt>
                <c:pt idx="77">
                  <c:v>1414.502464235129</c:v>
                </c:pt>
                <c:pt idx="78">
                  <c:v>1426.257758776574</c:v>
                </c:pt>
                <c:pt idx="79">
                  <c:v>1437.8671700997534</c:v>
                </c:pt>
                <c:pt idx="80">
                  <c:v>1449.3321427256733</c:v>
                </c:pt>
                <c:pt idx="81">
                  <c:v>1460.6536928465575</c:v>
                </c:pt>
                <c:pt idx="82">
                  <c:v>1471.8320626969976</c:v>
                </c:pt>
                <c:pt idx="83">
                  <c:v>1482.8692409425335</c:v>
                </c:pt>
                <c:pt idx="84">
                  <c:v>1493.7650046499612</c:v>
                </c:pt>
                <c:pt idx="85">
                  <c:v>1504.521328033528</c:v>
                </c:pt>
                <c:pt idx="86">
                  <c:v>1515.1384343955517</c:v>
                </c:pt>
                <c:pt idx="87">
                  <c:v>1525.617449036851</c:v>
                </c:pt>
                <c:pt idx="88">
                  <c:v>1535.9595898454168</c:v>
                </c:pt>
                <c:pt idx="89">
                  <c:v>1546.165078447797</c:v>
                </c:pt>
                <c:pt idx="90">
                  <c:v>1556.2357762431993</c:v>
                </c:pt>
                <c:pt idx="91">
                  <c:v>1566.171673589421</c:v>
                </c:pt>
                <c:pt idx="92">
                  <c:v>1575.9744763758376</c:v>
                </c:pt>
                <c:pt idx="93">
                  <c:v>1585.6446672453844</c:v>
                </c:pt>
                <c:pt idx="94">
                  <c:v>1595.183155231689</c:v>
                </c:pt>
                <c:pt idx="95">
                  <c:v>1604.5912719775006</c:v>
                </c:pt>
                <c:pt idx="96">
                  <c:v>1613.8692627066412</c:v>
                </c:pt>
                <c:pt idx="97">
                  <c:v>1623.0188576002508</c:v>
                </c:pt>
                <c:pt idx="98">
                  <c:v>1632.0402358766698</c:v>
                </c:pt>
                <c:pt idx="99">
                  <c:v>1640.9348810222573</c:v>
                </c:pt>
                <c:pt idx="100">
                  <c:v>1649.7034736087442</c:v>
                </c:pt>
                <c:pt idx="101">
                  <c:v>1658.346785806839</c:v>
                </c:pt>
              </c:numCache>
            </c:numRef>
          </c:xVal>
          <c:yVal>
            <c:numRef>
              <c:f>Datenbasis!$Z$23:$Z$124</c:f>
              <c:numCache>
                <c:ptCount val="102"/>
                <c:pt idx="0">
                  <c:v>0</c:v>
                </c:pt>
                <c:pt idx="1">
                  <c:v>0.5045176695319993</c:v>
                </c:pt>
                <c:pt idx="2">
                  <c:v>0.37822481989833345</c:v>
                </c:pt>
                <c:pt idx="3">
                  <c:v>0.3560117079621651</c:v>
                </c:pt>
                <c:pt idx="4">
                  <c:v>0.3492568845118987</c:v>
                </c:pt>
                <c:pt idx="5">
                  <c:v>0.3470360258134002</c:v>
                </c:pt>
                <c:pt idx="6">
                  <c:v>0.34666036611909534</c:v>
                </c:pt>
                <c:pt idx="7">
                  <c:v>0.34721512517768693</c:v>
                </c:pt>
                <c:pt idx="8">
                  <c:v>0.34832438618130246</c:v>
                </c:pt>
                <c:pt idx="9">
                  <c:v>0.3498147268512353</c:v>
                </c:pt>
                <c:pt idx="10">
                  <c:v>0.35160112018484696</c:v>
                </c:pt>
                <c:pt idx="11">
                  <c:v>0.3536419232814954</c:v>
                </c:pt>
                <c:pt idx="12">
                  <c:v>0.3559190827318354</c:v>
                </c:pt>
                <c:pt idx="13">
                  <c:v>0.3584287313837523</c:v>
                </c:pt>
                <c:pt idx="14">
                  <c:v>0.3611765083299093</c:v>
                </c:pt>
                <c:pt idx="15">
                  <c:v>0.36417521982225565</c:v>
                </c:pt>
                <c:pt idx="16">
                  <c:v>0.36744376603591794</c:v>
                </c:pt>
                <c:pt idx="17">
                  <c:v>0.37100682606461166</c:v>
                </c:pt>
                <c:pt idx="18">
                  <c:v>0.37479269074915705</c:v>
                </c:pt>
                <c:pt idx="19">
                  <c:v>0.37862099113337905</c:v>
                </c:pt>
                <c:pt idx="20">
                  <c:v>0.3823836585459468</c:v>
                </c:pt>
                <c:pt idx="21">
                  <c:v>0.38601912102007463</c:v>
                </c:pt>
                <c:pt idx="22">
                  <c:v>0.3894937109188188</c:v>
                </c:pt>
                <c:pt idx="23">
                  <c:v>0.3927908871261692</c:v>
                </c:pt>
                <c:pt idx="24">
                  <c:v>0.3959046862089858</c:v>
                </c:pt>
                <c:pt idx="25">
                  <c:v>0.3988356427432242</c:v>
                </c:pt>
                <c:pt idx="26">
                  <c:v>0.40158821396519667</c:v>
                </c:pt>
                <c:pt idx="27">
                  <c:v>0.40416913918257313</c:v>
                </c:pt>
                <c:pt idx="28">
                  <c:v>0.40536589904907827</c:v>
                </c:pt>
                <c:pt idx="29">
                  <c:v>0.4049430110367766</c:v>
                </c:pt>
                <c:pt idx="30">
                  <c:v>0.4045192755218231</c:v>
                </c:pt>
                <c:pt idx="31">
                  <c:v>0.4040948767338181</c:v>
                </c:pt>
                <c:pt idx="32">
                  <c:v>0.4036692043656256</c:v>
                </c:pt>
                <c:pt idx="33">
                  <c:v>0.40324253581831243</c:v>
                </c:pt>
                <c:pt idx="34">
                  <c:v>0.40281445052417675</c:v>
                </c:pt>
                <c:pt idx="35">
                  <c:v>0.402384945261257</c:v>
                </c:pt>
                <c:pt idx="36">
                  <c:v>0.401953986139602</c:v>
                </c:pt>
                <c:pt idx="37">
                  <c:v>0.4015213014923799</c:v>
                </c:pt>
                <c:pt idx="38">
                  <c:v>0.40108707057231263</c:v>
                </c:pt>
                <c:pt idx="39">
                  <c:v>0.400650964702589</c:v>
                </c:pt>
                <c:pt idx="40">
                  <c:v>0.40021313033647976</c:v>
                </c:pt>
                <c:pt idx="41">
                  <c:v>0.39977339180000726</c:v>
                </c:pt>
                <c:pt idx="42">
                  <c:v>0.3993316943581238</c:v>
                </c:pt>
                <c:pt idx="43">
                  <c:v>0.3988880842017855</c:v>
                </c:pt>
                <c:pt idx="44">
                  <c:v>0.39844236322337806</c:v>
                </c:pt>
                <c:pt idx="45">
                  <c:v>0.3979946637605304</c:v>
                </c:pt>
                <c:pt idx="46">
                  <c:v>0.3975447888185503</c:v>
                </c:pt>
                <c:pt idx="47">
                  <c:v>0.3970928051859201</c:v>
                </c:pt>
                <c:pt idx="48">
                  <c:v>0.3966386392935284</c:v>
                </c:pt>
                <c:pt idx="49">
                  <c:v>0.39618221733377457</c:v>
                </c:pt>
                <c:pt idx="50">
                  <c:v>0.3957235990885665</c:v>
                </c:pt>
                <c:pt idx="51">
                  <c:v>0.3952661837587484</c:v>
                </c:pt>
                <c:pt idx="52">
                  <c:v>0.3948106723157598</c:v>
                </c:pt>
                <c:pt idx="53">
                  <c:v>0.3943521347419123</c:v>
                </c:pt>
                <c:pt idx="54">
                  <c:v>0.39389064247802996</c:v>
                </c:pt>
                <c:pt idx="55">
                  <c:v>0.39342621853706594</c:v>
                </c:pt>
                <c:pt idx="56">
                  <c:v>0.3929588274074177</c:v>
                </c:pt>
                <c:pt idx="57">
                  <c:v>0.39248856303321294</c:v>
                </c:pt>
                <c:pt idx="58">
                  <c:v>0.39201534274110933</c:v>
                </c:pt>
                <c:pt idx="59">
                  <c:v>0.3915392561556225</c:v>
                </c:pt>
                <c:pt idx="60">
                  <c:v>0.39106024936715894</c:v>
                </c:pt>
                <c:pt idx="61">
                  <c:v>0.3905783382567977</c:v>
                </c:pt>
                <c:pt idx="62">
                  <c:v>0.39009354389145656</c:v>
                </c:pt>
                <c:pt idx="63">
                  <c:v>0.38960581024140756</c:v>
                </c:pt>
                <c:pt idx="64">
                  <c:v>0.3891152012085273</c:v>
                </c:pt>
                <c:pt idx="65">
                  <c:v>0.38862164003447974</c:v>
                </c:pt>
                <c:pt idx="66">
                  <c:v>0.38812517536154384</c:v>
                </c:pt>
                <c:pt idx="67">
                  <c:v>0.3876257651343061</c:v>
                </c:pt>
                <c:pt idx="68">
                  <c:v>0.38712339521860384</c:v>
                </c:pt>
                <c:pt idx="69">
                  <c:v>0.3866180838418043</c:v>
                </c:pt>
                <c:pt idx="70">
                  <c:v>0.3861097679341306</c:v>
                </c:pt>
                <c:pt idx="71">
                  <c:v>0.3855984900296243</c:v>
                </c:pt>
                <c:pt idx="72">
                  <c:v>0.38508418176537984</c:v>
                </c:pt>
                <c:pt idx="73">
                  <c:v>0.3845668639692778</c:v>
                </c:pt>
                <c:pt idx="74">
                  <c:v>0.38404650405688695</c:v>
                </c:pt>
                <c:pt idx="75">
                  <c:v>0.38352307055093793</c:v>
                </c:pt>
                <c:pt idx="76">
                  <c:v>0.3829965776187964</c:v>
                </c:pt>
                <c:pt idx="77">
                  <c:v>0.38246696083967235</c:v>
                </c:pt>
                <c:pt idx="78">
                  <c:v>0.3819342461655365</c:v>
                </c:pt>
                <c:pt idx="79">
                  <c:v>0.3813983733562607</c:v>
                </c:pt>
                <c:pt idx="80">
                  <c:v>0.38085934286119266</c:v>
                </c:pt>
                <c:pt idx="81">
                  <c:v>0.38031712910645993</c:v>
                </c:pt>
                <c:pt idx="82">
                  <c:v>0.3797716899606699</c:v>
                </c:pt>
                <c:pt idx="83">
                  <c:v>0.3792230345727349</c:v>
                </c:pt>
                <c:pt idx="84">
                  <c:v>0.3786710995129599</c:v>
                </c:pt>
                <c:pt idx="85">
                  <c:v>0.37811589704355125</c:v>
                </c:pt>
                <c:pt idx="86">
                  <c:v>0.3775573739204291</c:v>
                </c:pt>
                <c:pt idx="87">
                  <c:v>0.37699551474067966</c:v>
                </c:pt>
                <c:pt idx="88">
                  <c:v>0.37643029879877504</c:v>
                </c:pt>
                <c:pt idx="89">
                  <c:v>0.3758616769928795</c:v>
                </c:pt>
                <c:pt idx="90">
                  <c:v>0.37528965277657583</c:v>
                </c:pt>
                <c:pt idx="91">
                  <c:v>0.374714164523618</c:v>
                </c:pt>
                <c:pt idx="92">
                  <c:v>0.37413521265836436</c:v>
                </c:pt>
                <c:pt idx="93">
                  <c:v>0.3735527493120543</c:v>
                </c:pt>
                <c:pt idx="94">
                  <c:v>0.37296674703267235</c:v>
                </c:pt>
                <c:pt idx="95">
                  <c:v>0.37237718729075314</c:v>
                </c:pt>
                <c:pt idx="96">
                  <c:v>0.3717840163781509</c:v>
                </c:pt>
                <c:pt idx="97">
                  <c:v>0.3711872315723355</c:v>
                </c:pt>
                <c:pt idx="98">
                  <c:v>0.37058677313015925</c:v>
                </c:pt>
                <c:pt idx="99">
                  <c:v>0.36998263085599475</c:v>
                </c:pt>
                <c:pt idx="100">
                  <c:v>0.3693747606872758</c:v>
                </c:pt>
                <c:pt idx="101">
                  <c:v>0.3687631258759067</c:v>
                </c:pt>
              </c:numCache>
            </c:numRef>
          </c:yVal>
          <c:smooth val="1"/>
        </c:ser>
        <c:axId val="30645634"/>
        <c:axId val="7375251"/>
      </c:scatterChart>
      <c:valAx>
        <c:axId val="3064563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.#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5251"/>
        <c:crosses val="autoZero"/>
        <c:crossBetween val="midCat"/>
        <c:dispUnits/>
        <c:majorUnit val="1000"/>
      </c:valAx>
      <c:valAx>
        <c:axId val="7375251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.#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563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215"/>
          <c:w val="0.1437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49</xdr:row>
      <xdr:rowOff>47625</xdr:rowOff>
    </xdr:from>
    <xdr:to>
      <xdr:col>5</xdr:col>
      <xdr:colOff>152400</xdr:colOff>
      <xdr:row>66</xdr:row>
      <xdr:rowOff>0</xdr:rowOff>
    </xdr:to>
    <xdr:graphicFrame>
      <xdr:nvGraphicFramePr>
        <xdr:cNvPr id="1" name="Chart 10"/>
        <xdr:cNvGraphicFramePr/>
      </xdr:nvGraphicFramePr>
      <xdr:xfrm>
        <a:off x="85725" y="8420100"/>
        <a:ext cx="3810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13</xdr:row>
      <xdr:rowOff>0</xdr:rowOff>
    </xdr:from>
    <xdr:to>
      <xdr:col>5</xdr:col>
      <xdr:colOff>114300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352550" y="1733550"/>
        <a:ext cx="2952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13</xdr:row>
      <xdr:rowOff>0</xdr:rowOff>
    </xdr:from>
    <xdr:to>
      <xdr:col>10</xdr:col>
      <xdr:colOff>171450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695950" y="1733550"/>
        <a:ext cx="3048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38100</xdr:rowOff>
    </xdr:from>
    <xdr:to>
      <xdr:col>10</xdr:col>
      <xdr:colOff>466725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457200" y="609600"/>
        <a:ext cx="4791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Q81"/>
  <sheetViews>
    <sheetView tabSelected="1" zoomScale="105" zoomScaleNormal="105" zoomScalePageLayoutView="0" workbookViewId="0" topLeftCell="A1">
      <selection activeCell="M9" sqref="M9"/>
    </sheetView>
  </sheetViews>
  <sheetFormatPr defaultColWidth="11.5546875" defaultRowHeight="15"/>
  <cols>
    <col min="1" max="1" width="2.77734375" style="11" customWidth="1"/>
    <col min="2" max="2" width="11.4453125" style="11" customWidth="1"/>
    <col min="3" max="3" width="9.3359375" style="11" customWidth="1"/>
    <col min="4" max="4" width="10.6640625" style="11" customWidth="1"/>
    <col min="5" max="5" width="9.4453125" style="11" customWidth="1"/>
    <col min="6" max="6" width="11.4453125" style="11" customWidth="1"/>
    <col min="7" max="7" width="7.99609375" style="11" customWidth="1"/>
    <col min="8" max="8" width="11.4453125" style="11" customWidth="1"/>
    <col min="9" max="9" width="8.3359375" style="11" customWidth="1"/>
    <col min="10" max="10" width="7.21484375" style="11" customWidth="1"/>
    <col min="11" max="11" width="10.10546875" style="11" customWidth="1"/>
    <col min="12" max="12" width="1.5625" style="11" customWidth="1"/>
    <col min="13" max="13" width="11.5546875" style="11" customWidth="1"/>
    <col min="14" max="14" width="13.5546875" style="11" customWidth="1"/>
    <col min="15" max="16384" width="11.5546875" style="11" customWidth="1"/>
  </cols>
  <sheetData>
    <row r="1" spans="1:11" ht="12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 customHeight="1">
      <c r="A2" s="310"/>
      <c r="B2" s="311" t="s">
        <v>108</v>
      </c>
      <c r="C2" s="312"/>
      <c r="D2" s="312"/>
      <c r="E2" s="310"/>
      <c r="F2" s="310"/>
      <c r="G2" s="310"/>
      <c r="H2" s="310"/>
      <c r="I2" s="310"/>
      <c r="J2" s="310"/>
      <c r="K2" s="310"/>
    </row>
    <row r="3" spans="1:11" ht="12.75" customHeight="1">
      <c r="A3" s="310"/>
      <c r="B3" s="310" t="s">
        <v>193</v>
      </c>
      <c r="C3" s="310"/>
      <c r="D3" s="310"/>
      <c r="E3" s="310"/>
      <c r="F3" s="310"/>
      <c r="G3" s="310"/>
      <c r="H3" s="310"/>
      <c r="I3" s="310"/>
      <c r="J3" s="310" t="s">
        <v>192</v>
      </c>
      <c r="K3" s="313">
        <v>41377</v>
      </c>
    </row>
    <row r="4" spans="1:11" ht="8.2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ht="6.75" customHeight="1"/>
    <row r="6" spans="2:11" ht="12.75" customHeight="1">
      <c r="B6" s="14" t="s">
        <v>8</v>
      </c>
      <c r="K6" s="202" t="s">
        <v>9</v>
      </c>
    </row>
    <row r="7" ht="12.75" customHeight="1"/>
    <row r="8" spans="2:7" ht="12.75" customHeight="1">
      <c r="B8" s="12" t="s">
        <v>10</v>
      </c>
      <c r="G8" s="12" t="s">
        <v>11</v>
      </c>
    </row>
    <row r="9" spans="6:7" ht="12.75" customHeight="1">
      <c r="F9" s="15"/>
      <c r="G9" s="9"/>
    </row>
    <row r="10" spans="6:11" ht="12.75" customHeight="1">
      <c r="F10" s="15" t="s">
        <v>12</v>
      </c>
      <c r="G10" s="9">
        <f>Datenbasis!E8</f>
        <v>1.5</v>
      </c>
      <c r="H10" s="11" t="s">
        <v>13</v>
      </c>
      <c r="K10" s="11" t="s">
        <v>14</v>
      </c>
    </row>
    <row r="11" spans="2:11" ht="12.75" customHeight="1">
      <c r="B11" s="12" t="s">
        <v>17</v>
      </c>
      <c r="F11" s="15" t="s">
        <v>15</v>
      </c>
      <c r="G11" s="9">
        <f>Datenbasis!F8</f>
        <v>1.15</v>
      </c>
      <c r="H11" s="11" t="s">
        <v>16</v>
      </c>
      <c r="K11" s="11" t="s">
        <v>14</v>
      </c>
    </row>
    <row r="12" ht="12.75" customHeight="1"/>
    <row r="13" ht="12.75" customHeight="1">
      <c r="G13" s="12" t="s">
        <v>18</v>
      </c>
    </row>
    <row r="14" ht="12.75" customHeight="1">
      <c r="B14" s="12" t="s">
        <v>27</v>
      </c>
    </row>
    <row r="15" spans="6:11" ht="12.75" customHeight="1">
      <c r="F15" s="15" t="s">
        <v>19</v>
      </c>
      <c r="G15" s="9">
        <f>Datenbasis!G58</f>
        <v>1.1333333333333333</v>
      </c>
      <c r="H15" s="11" t="s">
        <v>20</v>
      </c>
      <c r="K15" s="11" t="s">
        <v>21</v>
      </c>
    </row>
    <row r="16" spans="6:11" ht="12.75" customHeight="1">
      <c r="F16" s="15" t="s">
        <v>140</v>
      </c>
      <c r="G16" s="9">
        <f>Datenbasis!D58</f>
        <v>-2</v>
      </c>
      <c r="H16" s="11" t="s">
        <v>22</v>
      </c>
      <c r="K16" s="11" t="s">
        <v>23</v>
      </c>
    </row>
    <row r="17" spans="6:11" ht="12.75" customHeight="1">
      <c r="F17" s="15" t="s">
        <v>141</v>
      </c>
      <c r="G17" s="9">
        <f>Datenbasis!E58</f>
        <v>-3.5</v>
      </c>
      <c r="H17" s="11" t="s">
        <v>24</v>
      </c>
      <c r="K17" s="11" t="s">
        <v>23</v>
      </c>
    </row>
    <row r="18" spans="2:11" ht="12.75" customHeight="1">
      <c r="B18" s="12" t="s">
        <v>109</v>
      </c>
      <c r="F18" s="15" t="s">
        <v>25</v>
      </c>
      <c r="G18" s="9">
        <f>Datenbasis!F58</f>
        <v>2</v>
      </c>
      <c r="H18" s="11" t="s">
        <v>26</v>
      </c>
      <c r="K18" s="11" t="s">
        <v>14</v>
      </c>
    </row>
    <row r="19" spans="4:7" ht="12.75" customHeight="1">
      <c r="D19" s="15" t="s">
        <v>194</v>
      </c>
      <c r="E19" s="212">
        <v>70</v>
      </c>
      <c r="F19" s="15"/>
      <c r="G19" s="16"/>
    </row>
    <row r="20" spans="4:7" ht="12.75" customHeight="1">
      <c r="D20" s="15" t="s">
        <v>195</v>
      </c>
      <c r="E20" s="212">
        <v>20</v>
      </c>
      <c r="G20" s="12" t="s">
        <v>28</v>
      </c>
    </row>
    <row r="21" spans="4:5" ht="12.75" customHeight="1">
      <c r="D21" s="15" t="s">
        <v>196</v>
      </c>
      <c r="E21" s="212">
        <v>30</v>
      </c>
    </row>
    <row r="22" spans="6:11" ht="12.75" customHeight="1">
      <c r="F22" s="15" t="s">
        <v>29</v>
      </c>
      <c r="G22" s="9">
        <f>Datenbasis!E15</f>
        <v>43.47826086956522</v>
      </c>
      <c r="H22" s="11" t="s">
        <v>30</v>
      </c>
      <c r="K22" s="11" t="s">
        <v>21</v>
      </c>
    </row>
    <row r="23" spans="2:11" ht="12.75" customHeight="1">
      <c r="B23" s="211" t="s">
        <v>201</v>
      </c>
      <c r="D23" s="15" t="s">
        <v>110</v>
      </c>
      <c r="E23" s="212">
        <v>100</v>
      </c>
      <c r="F23" s="15" t="s">
        <v>31</v>
      </c>
      <c r="G23" s="9">
        <f>Datenbasis!F15</f>
        <v>43.47826086956522</v>
      </c>
      <c r="H23" s="11" t="s">
        <v>32</v>
      </c>
      <c r="K23" s="11" t="s">
        <v>21</v>
      </c>
    </row>
    <row r="24" spans="2:8" ht="12.75" customHeight="1">
      <c r="B24" s="15" t="s">
        <v>199</v>
      </c>
      <c r="C24" s="236">
        <f>K64</f>
        <v>43.333333333333336</v>
      </c>
      <c r="D24" s="15" t="s">
        <v>197</v>
      </c>
      <c r="E24" s="212">
        <v>0</v>
      </c>
      <c r="F24" s="15" t="s">
        <v>33</v>
      </c>
      <c r="G24" s="10">
        <f>Datenbasis!G13</f>
        <v>20000</v>
      </c>
      <c r="H24" s="11" t="s">
        <v>21</v>
      </c>
    </row>
    <row r="25" spans="2:7" ht="13.5" customHeight="1">
      <c r="B25" s="15" t="s">
        <v>200</v>
      </c>
      <c r="C25" s="237">
        <f>K65</f>
        <v>3944444.444444442</v>
      </c>
      <c r="D25" s="15" t="s">
        <v>198</v>
      </c>
      <c r="E25" s="212">
        <v>100</v>
      </c>
      <c r="F25" s="15"/>
      <c r="G25" s="10"/>
    </row>
    <row r="26" ht="13.5" customHeight="1"/>
    <row r="27" spans="3:6" ht="13.5" customHeight="1">
      <c r="C27" s="116" t="s">
        <v>127</v>
      </c>
      <c r="D27" s="15" t="s">
        <v>112</v>
      </c>
      <c r="E27" s="117">
        <v>6</v>
      </c>
      <c r="F27" s="204" t="s">
        <v>123</v>
      </c>
    </row>
    <row r="28" spans="3:10" ht="13.5" customHeight="1">
      <c r="C28" s="116" t="s">
        <v>128</v>
      </c>
      <c r="D28" s="15" t="s">
        <v>113</v>
      </c>
      <c r="E28" s="117">
        <v>5</v>
      </c>
      <c r="G28" s="12" t="s">
        <v>116</v>
      </c>
      <c r="I28" s="112" t="s">
        <v>124</v>
      </c>
      <c r="J28" s="119">
        <f>Datenbasis!H98</f>
        <v>0.45</v>
      </c>
    </row>
    <row r="29" ht="12.75" customHeight="1">
      <c r="E29" s="106"/>
    </row>
    <row r="30" spans="2:6" ht="13.5" customHeight="1">
      <c r="B30" s="12" t="s">
        <v>117</v>
      </c>
      <c r="C30" s="116" t="s">
        <v>161</v>
      </c>
      <c r="D30" s="15" t="s">
        <v>115</v>
      </c>
      <c r="E30" s="118">
        <v>-87.75</v>
      </c>
      <c r="F30" s="204" t="s">
        <v>244</v>
      </c>
    </row>
    <row r="31" spans="3:5" ht="13.5" customHeight="1">
      <c r="C31" s="155">
        <f>IF(B57&gt;100,(B57-100)/100+1,1-(100-B57)/100)</f>
        <v>1.98</v>
      </c>
      <c r="D31" s="15" t="s">
        <v>114</v>
      </c>
      <c r="E31" s="118">
        <v>258.2</v>
      </c>
    </row>
    <row r="32" spans="2:11" ht="12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ht="12.75" customHeight="1"/>
    <row r="34" ht="65.25" customHeight="1"/>
    <row r="35" ht="7.5" customHeight="1"/>
    <row r="36" ht="12.75" customHeight="1">
      <c r="B36" s="14" t="s">
        <v>202</v>
      </c>
    </row>
    <row r="37" ht="6" customHeight="1"/>
    <row r="38" spans="1:13" ht="12.75" customHeight="1">
      <c r="A38" s="157"/>
      <c r="B38" s="12" t="s">
        <v>109</v>
      </c>
      <c r="C38" s="157"/>
      <c r="F38" s="157"/>
      <c r="H38" s="12" t="s">
        <v>217</v>
      </c>
      <c r="K38" s="157"/>
      <c r="L38" s="157"/>
      <c r="M38" s="157"/>
    </row>
    <row r="39" spans="1:13" ht="12.75" customHeight="1">
      <c r="A39" s="157"/>
      <c r="B39" s="157"/>
      <c r="C39" s="157"/>
      <c r="D39" s="157"/>
      <c r="E39" s="157"/>
      <c r="F39" s="157"/>
      <c r="L39" s="157"/>
      <c r="M39" s="157"/>
    </row>
    <row r="40" spans="1:13" ht="12.75" customHeight="1">
      <c r="A40" s="157"/>
      <c r="B40" s="106" t="s">
        <v>219</v>
      </c>
      <c r="D40" s="15" t="s">
        <v>194</v>
      </c>
      <c r="E40" s="222">
        <f aca="true" t="shared" si="0" ref="E40:E46">E19</f>
        <v>70</v>
      </c>
      <c r="F40" s="157"/>
      <c r="G40" s="157"/>
      <c r="H40" s="220" t="s">
        <v>216</v>
      </c>
      <c r="I40" s="221" t="s">
        <v>203</v>
      </c>
      <c r="J40" s="221" t="s">
        <v>204</v>
      </c>
      <c r="K40" s="221" t="s">
        <v>205</v>
      </c>
      <c r="L40" s="157"/>
      <c r="M40" s="157"/>
    </row>
    <row r="41" spans="1:13" ht="12.75" customHeight="1">
      <c r="A41" s="157"/>
      <c r="B41" s="106" t="s">
        <v>218</v>
      </c>
      <c r="D41" s="15" t="s">
        <v>195</v>
      </c>
      <c r="E41" s="222">
        <f t="shared" si="0"/>
        <v>20</v>
      </c>
      <c r="H41" s="218">
        <v>1</v>
      </c>
      <c r="I41" s="219">
        <v>0</v>
      </c>
      <c r="J41" s="219">
        <f>-K64</f>
        <v>-43.333333333333336</v>
      </c>
      <c r="K41" s="219">
        <f>-I41</f>
        <v>0</v>
      </c>
      <c r="L41" s="157"/>
      <c r="M41" s="157"/>
    </row>
    <row r="42" spans="1:13" ht="12.75" customHeight="1">
      <c r="A42" s="157"/>
      <c r="B42" s="106" t="s">
        <v>227</v>
      </c>
      <c r="D42" s="15" t="s">
        <v>196</v>
      </c>
      <c r="E42" s="222">
        <f t="shared" si="0"/>
        <v>30</v>
      </c>
      <c r="H42" s="218">
        <v>2</v>
      </c>
      <c r="I42" s="219">
        <f>E19/2</f>
        <v>35</v>
      </c>
      <c r="J42" s="219">
        <f>J41</f>
        <v>-43.333333333333336</v>
      </c>
      <c r="K42" s="219">
        <f aca="true" t="shared" si="1" ref="K42:K47">-I42</f>
        <v>-35</v>
      </c>
      <c r="L42" s="157"/>
      <c r="M42" s="157"/>
    </row>
    <row r="43" spans="1:13" ht="12.75" customHeight="1">
      <c r="A43" s="157"/>
      <c r="B43" s="106"/>
      <c r="C43" s="157"/>
      <c r="E43" s="223"/>
      <c r="H43" s="218">
        <v>3</v>
      </c>
      <c r="I43" s="219">
        <f>I42</f>
        <v>35</v>
      </c>
      <c r="J43" s="219">
        <f>J42+E24</f>
        <v>-43.333333333333336</v>
      </c>
      <c r="K43" s="219">
        <f t="shared" si="1"/>
        <v>-35</v>
      </c>
      <c r="L43" s="157"/>
      <c r="M43" s="157"/>
    </row>
    <row r="44" spans="1:13" ht="12.75" customHeight="1">
      <c r="A44" s="157"/>
      <c r="B44" s="106" t="s">
        <v>221</v>
      </c>
      <c r="D44" s="15" t="s">
        <v>110</v>
      </c>
      <c r="E44" s="222">
        <f t="shared" si="0"/>
        <v>100</v>
      </c>
      <c r="H44" s="218">
        <v>4</v>
      </c>
      <c r="I44" s="219">
        <f>I43-E48/2</f>
        <v>35</v>
      </c>
      <c r="J44" s="219">
        <f>J43</f>
        <v>-43.333333333333336</v>
      </c>
      <c r="K44" s="219">
        <f t="shared" si="1"/>
        <v>-35</v>
      </c>
      <c r="L44" s="157"/>
      <c r="M44" s="157"/>
    </row>
    <row r="45" spans="1:13" ht="12.75" customHeight="1">
      <c r="A45" s="157"/>
      <c r="B45" s="106" t="s">
        <v>220</v>
      </c>
      <c r="C45" s="106"/>
      <c r="D45" s="15" t="s">
        <v>197</v>
      </c>
      <c r="E45" s="222">
        <f t="shared" si="0"/>
        <v>0</v>
      </c>
      <c r="H45" s="218">
        <v>5</v>
      </c>
      <c r="I45" s="219">
        <f>E21/2</f>
        <v>15</v>
      </c>
      <c r="J45" s="219">
        <f>J44+E25</f>
        <v>56.666666666666664</v>
      </c>
      <c r="K45" s="219">
        <f t="shared" si="1"/>
        <v>-15</v>
      </c>
      <c r="L45" s="157"/>
      <c r="M45" s="157"/>
    </row>
    <row r="46" spans="1:13" ht="12.75" customHeight="1">
      <c r="A46" s="157"/>
      <c r="B46" s="106" t="s">
        <v>222</v>
      </c>
      <c r="C46" s="106"/>
      <c r="D46" s="15" t="s">
        <v>198</v>
      </c>
      <c r="E46" s="222">
        <f t="shared" si="0"/>
        <v>100</v>
      </c>
      <c r="H46" s="218">
        <v>6</v>
      </c>
      <c r="I46" s="219">
        <f>I45</f>
        <v>15</v>
      </c>
      <c r="J46" s="219">
        <f>J41+E23</f>
        <v>56.666666666666664</v>
      </c>
      <c r="K46" s="219">
        <f t="shared" si="1"/>
        <v>-15</v>
      </c>
      <c r="L46" s="157"/>
      <c r="M46" s="157"/>
    </row>
    <row r="47" spans="1:13" ht="12.75" customHeight="1">
      <c r="A47" s="157"/>
      <c r="B47" s="157"/>
      <c r="C47" s="106"/>
      <c r="D47" s="157"/>
      <c r="E47" s="106"/>
      <c r="H47" s="218">
        <v>7</v>
      </c>
      <c r="I47" s="219">
        <v>0</v>
      </c>
      <c r="J47" s="219">
        <f>J46</f>
        <v>56.666666666666664</v>
      </c>
      <c r="K47" s="219">
        <f t="shared" si="1"/>
        <v>0</v>
      </c>
      <c r="L47" s="157"/>
      <c r="M47" s="157"/>
    </row>
    <row r="48" spans="1:13" ht="12.75" customHeight="1">
      <c r="A48" s="157"/>
      <c r="B48" s="106" t="s">
        <v>224</v>
      </c>
      <c r="C48" s="106"/>
      <c r="D48" s="106"/>
      <c r="E48" s="222">
        <f>E19-E21-2*E20</f>
        <v>0</v>
      </c>
      <c r="L48" s="157"/>
      <c r="M48" s="157"/>
    </row>
    <row r="49" spans="1:13" ht="12.75" customHeight="1">
      <c r="A49" s="157"/>
      <c r="B49" s="106" t="s">
        <v>223</v>
      </c>
      <c r="C49" s="106"/>
      <c r="D49" s="106"/>
      <c r="E49" s="222">
        <f>E23-E24-E25</f>
        <v>0</v>
      </c>
      <c r="G49" s="230" t="s">
        <v>226</v>
      </c>
      <c r="I49" s="230"/>
      <c r="J49" s="106"/>
      <c r="K49" s="157"/>
      <c r="L49" s="157"/>
      <c r="M49" s="157"/>
    </row>
    <row r="50" spans="1:13" ht="12.75" customHeight="1">
      <c r="A50" s="157"/>
      <c r="D50" s="157"/>
      <c r="G50" s="106"/>
      <c r="H50" s="106"/>
      <c r="I50" s="215"/>
      <c r="J50" s="106"/>
      <c r="K50" s="157"/>
      <c r="L50" s="157"/>
      <c r="M50" s="157"/>
    </row>
    <row r="51" spans="1:13" ht="12.75" customHeight="1">
      <c r="A51" s="157"/>
      <c r="D51" s="157"/>
      <c r="E51" s="157"/>
      <c r="F51" s="225" t="s">
        <v>206</v>
      </c>
      <c r="G51" s="157"/>
      <c r="H51" s="106"/>
      <c r="I51" s="221" t="s">
        <v>215</v>
      </c>
      <c r="J51" s="221" t="s">
        <v>214</v>
      </c>
      <c r="K51" s="221" t="s">
        <v>213</v>
      </c>
      <c r="L51" s="157"/>
      <c r="M51" s="157"/>
    </row>
    <row r="52" spans="1:13" ht="12.75" customHeight="1">
      <c r="A52" s="157"/>
      <c r="B52" s="157"/>
      <c r="C52" s="157"/>
      <c r="D52" s="157"/>
      <c r="E52" s="157"/>
      <c r="F52" s="157"/>
      <c r="G52" s="157"/>
      <c r="H52" s="216" t="s">
        <v>207</v>
      </c>
      <c r="I52" s="217">
        <f>E24*E19</f>
        <v>0</v>
      </c>
      <c r="J52" s="217">
        <f>E24/2</f>
        <v>0</v>
      </c>
      <c r="K52" s="217">
        <f>I52*J52</f>
        <v>0</v>
      </c>
      <c r="L52" s="157"/>
      <c r="M52" s="157"/>
    </row>
    <row r="53" spans="1:11" ht="12.75" customHeight="1">
      <c r="A53" s="157"/>
      <c r="B53" s="157"/>
      <c r="C53" s="157"/>
      <c r="D53" s="157"/>
      <c r="E53" s="157"/>
      <c r="F53" s="275">
        <f>Q68</f>
        <v>0</v>
      </c>
      <c r="H53" s="216" t="s">
        <v>208</v>
      </c>
      <c r="I53" s="217">
        <f>E20*E25</f>
        <v>2000</v>
      </c>
      <c r="J53" s="217">
        <f>E24+E25/3</f>
        <v>33.333333333333336</v>
      </c>
      <c r="K53" s="217">
        <f>I53*J53</f>
        <v>66666.66666666667</v>
      </c>
    </row>
    <row r="54" spans="1:11" ht="12.75" customHeight="1">
      <c r="A54" s="157"/>
      <c r="B54" s="157"/>
      <c r="C54" s="157"/>
      <c r="D54" s="157"/>
      <c r="E54" s="157"/>
      <c r="F54" s="116" t="s">
        <v>299</v>
      </c>
      <c r="G54" s="157"/>
      <c r="H54" s="216" t="s">
        <v>209</v>
      </c>
      <c r="I54" s="217">
        <f>(E23-E24)*E21</f>
        <v>3000</v>
      </c>
      <c r="J54" s="217">
        <f>E24+(E23-E24)/2</f>
        <v>50</v>
      </c>
      <c r="K54" s="217">
        <f>I54*J54</f>
        <v>150000</v>
      </c>
    </row>
    <row r="55" spans="1:17" ht="12.75" customHeight="1">
      <c r="A55" s="157"/>
      <c r="B55" s="157"/>
      <c r="C55" s="157"/>
      <c r="D55" s="157"/>
      <c r="E55" s="157"/>
      <c r="F55" s="157"/>
      <c r="G55" s="157"/>
      <c r="H55" s="106"/>
      <c r="I55" s="224">
        <f>SUM(I52:I54)</f>
        <v>5000</v>
      </c>
      <c r="J55" s="224"/>
      <c r="K55" s="224">
        <f>SUM(K52:K54)</f>
        <v>216666.6666666667</v>
      </c>
      <c r="Q55" s="157"/>
    </row>
    <row r="56" spans="1:17" ht="12.75" customHeight="1">
      <c r="A56" s="157"/>
      <c r="B56" s="157"/>
      <c r="C56" s="157"/>
      <c r="D56" s="157"/>
      <c r="E56" s="157"/>
      <c r="F56" s="157"/>
      <c r="G56" s="157"/>
      <c r="Q56" s="157"/>
    </row>
    <row r="57" spans="1:11" ht="12.75" customHeight="1">
      <c r="A57" s="157"/>
      <c r="B57" s="157">
        <v>198</v>
      </c>
      <c r="C57" s="157"/>
      <c r="D57" s="157"/>
      <c r="E57" s="157"/>
      <c r="F57" s="275">
        <f>Q69</f>
        <v>100</v>
      </c>
      <c r="I57" s="304" t="s">
        <v>211</v>
      </c>
      <c r="J57" s="304"/>
      <c r="K57" s="221" t="s">
        <v>212</v>
      </c>
    </row>
    <row r="58" spans="1:13" ht="12.75" customHeight="1">
      <c r="A58" s="157"/>
      <c r="B58" s="157"/>
      <c r="C58" s="157"/>
      <c r="D58" s="157"/>
      <c r="E58" s="157"/>
      <c r="F58" s="116" t="s">
        <v>300</v>
      </c>
      <c r="H58" s="216" t="s">
        <v>207</v>
      </c>
      <c r="I58" s="305">
        <f>K52*J52</f>
        <v>0</v>
      </c>
      <c r="J58" s="305"/>
      <c r="K58" s="217">
        <f>E24^3*E19/12</f>
        <v>0</v>
      </c>
      <c r="L58" s="106"/>
      <c r="M58" s="106"/>
    </row>
    <row r="59" spans="1:13" ht="12.75" customHeight="1">
      <c r="A59" s="157"/>
      <c r="B59" s="157"/>
      <c r="C59" s="157"/>
      <c r="D59" s="157"/>
      <c r="E59" s="157"/>
      <c r="F59" s="157"/>
      <c r="G59" s="157"/>
      <c r="H59" s="216" t="s">
        <v>208</v>
      </c>
      <c r="I59" s="305">
        <f>K53*J53</f>
        <v>2222222.2222222225</v>
      </c>
      <c r="J59" s="305"/>
      <c r="K59" s="217">
        <f>2*E20*E25^3/36</f>
        <v>1111111.111111111</v>
      </c>
      <c r="M59" s="106"/>
    </row>
    <row r="60" spans="1:17" ht="12.75" customHeight="1">
      <c r="A60" s="157"/>
      <c r="B60" s="157"/>
      <c r="C60" s="157"/>
      <c r="D60" s="157"/>
      <c r="E60" s="157"/>
      <c r="F60" s="157"/>
      <c r="G60" s="157"/>
      <c r="H60" s="216" t="s">
        <v>209</v>
      </c>
      <c r="I60" s="305">
        <f>K54*J54</f>
        <v>7500000</v>
      </c>
      <c r="J60" s="305"/>
      <c r="K60" s="217">
        <f>(E23-E24)^3*E21/12</f>
        <v>2500000</v>
      </c>
      <c r="M60" s="106"/>
      <c r="N60" s="277" t="s">
        <v>206</v>
      </c>
      <c r="O60" s="277" t="s">
        <v>242</v>
      </c>
      <c r="P60" s="277" t="s">
        <v>268</v>
      </c>
      <c r="Q60" s="277" t="s">
        <v>269</v>
      </c>
    </row>
    <row r="61" spans="1:17" ht="12.75" customHeight="1">
      <c r="A61" s="157"/>
      <c r="B61" s="157"/>
      <c r="C61" s="157"/>
      <c r="D61" s="157"/>
      <c r="E61" s="157"/>
      <c r="F61" s="275">
        <f>Q70</f>
        <v>0</v>
      </c>
      <c r="G61" s="157"/>
      <c r="H61" s="213"/>
      <c r="I61" s="303">
        <f>SUM(I58:I60)</f>
        <v>9722222.222222222</v>
      </c>
      <c r="J61" s="303"/>
      <c r="K61" s="224">
        <f>SUM(K58:K60)</f>
        <v>3611111.111111111</v>
      </c>
      <c r="M61" s="157"/>
      <c r="N61" s="274" t="s">
        <v>207</v>
      </c>
      <c r="O61" s="278">
        <f>E24</f>
        <v>0</v>
      </c>
      <c r="P61" s="278">
        <f>O61</f>
        <v>0</v>
      </c>
      <c r="Q61" s="226">
        <f>IF(P61&gt;$O$67,$O$67,P61)</f>
        <v>0</v>
      </c>
    </row>
    <row r="62" spans="1:17" ht="12.75" customHeight="1">
      <c r="A62" s="157"/>
      <c r="B62" s="157"/>
      <c r="C62" s="157"/>
      <c r="D62" s="157"/>
      <c r="E62" s="157"/>
      <c r="F62" s="116" t="s">
        <v>301</v>
      </c>
      <c r="G62" s="157"/>
      <c r="H62" s="213"/>
      <c r="I62" s="157"/>
      <c r="L62" s="157"/>
      <c r="M62" s="157"/>
      <c r="N62" s="274" t="s">
        <v>208</v>
      </c>
      <c r="O62" s="278">
        <f>E25</f>
        <v>100</v>
      </c>
      <c r="P62" s="278">
        <f>P61+O62</f>
        <v>100</v>
      </c>
      <c r="Q62" s="226">
        <f>IF(P62&gt;$O$67,$O$67-Q61,P62-Q61)</f>
        <v>42.75</v>
      </c>
    </row>
    <row r="63" spans="1:17" ht="12.75" customHeight="1">
      <c r="A63" s="157"/>
      <c r="B63" s="157"/>
      <c r="C63" s="157"/>
      <c r="D63" s="157"/>
      <c r="E63" s="157"/>
      <c r="G63" s="157"/>
      <c r="I63" s="157"/>
      <c r="L63" s="157"/>
      <c r="M63" s="157"/>
      <c r="N63" s="274" t="s">
        <v>209</v>
      </c>
      <c r="O63" s="278">
        <f>E23-E24-E25</f>
        <v>0</v>
      </c>
      <c r="P63" s="278">
        <f>P62+O63</f>
        <v>100</v>
      </c>
      <c r="Q63" s="226">
        <f>IF(P63&gt;$O$67,$O$67-Q61-Q62,P63-Q61-Q62)</f>
        <v>0</v>
      </c>
    </row>
    <row r="64" spans="1:17" ht="12.75" customHeight="1">
      <c r="A64" s="157"/>
      <c r="B64" s="157"/>
      <c r="C64" s="157"/>
      <c r="D64" s="157"/>
      <c r="E64" s="157"/>
      <c r="H64" s="106" t="s">
        <v>210</v>
      </c>
      <c r="J64" s="169" t="s">
        <v>199</v>
      </c>
      <c r="K64" s="214">
        <f>K55/I55</f>
        <v>43.333333333333336</v>
      </c>
      <c r="L64" s="106"/>
      <c r="M64" s="157"/>
      <c r="Q64" s="279">
        <f>SUM(Q61:Q63)</f>
        <v>42.75</v>
      </c>
    </row>
    <row r="65" spans="1:13" ht="12.75" customHeight="1" thickBot="1">
      <c r="A65" s="157"/>
      <c r="B65" s="157"/>
      <c r="C65" s="157"/>
      <c r="D65" s="157"/>
      <c r="E65" s="157"/>
      <c r="F65" s="227">
        <f>F53+F57+F61</f>
        <v>100</v>
      </c>
      <c r="G65" s="157"/>
      <c r="H65" s="106" t="s">
        <v>225</v>
      </c>
      <c r="J65" s="169" t="s">
        <v>200</v>
      </c>
      <c r="K65" s="214">
        <f>I61+K61-K64^2*I55</f>
        <v>3944444.444444442</v>
      </c>
      <c r="L65" s="106"/>
      <c r="M65" s="157"/>
    </row>
    <row r="66" spans="1:16" ht="15.75" thickBot="1">
      <c r="A66" s="157"/>
      <c r="B66" s="157"/>
      <c r="C66" s="157"/>
      <c r="D66" s="157"/>
      <c r="E66" s="157"/>
      <c r="F66" s="229"/>
      <c r="G66" s="229"/>
      <c r="H66" s="229"/>
      <c r="I66" s="229"/>
      <c r="J66" s="229"/>
      <c r="K66" s="229"/>
      <c r="L66" s="157"/>
      <c r="M66" s="157"/>
      <c r="N66" s="216" t="s">
        <v>206</v>
      </c>
      <c r="P66" s="228">
        <v>100</v>
      </c>
    </row>
    <row r="67" spans="1:16" ht="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274" t="s">
        <v>267</v>
      </c>
      <c r="O67" s="226">
        <f>(E23-E28)*J28</f>
        <v>42.75</v>
      </c>
      <c r="P67" s="272"/>
    </row>
    <row r="68" spans="1:17" ht="1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274" t="s">
        <v>270</v>
      </c>
      <c r="O68" s="226">
        <f>Q61/$O$67</f>
        <v>0</v>
      </c>
      <c r="P68" s="217">
        <f>ROUND(O68*$P$66,0)</f>
        <v>0</v>
      </c>
      <c r="Q68" s="273">
        <f>P68</f>
        <v>0</v>
      </c>
    </row>
    <row r="69" spans="1:17" ht="15">
      <c r="A69" s="157"/>
      <c r="B69" s="157"/>
      <c r="C69" s="157"/>
      <c r="D69" s="157"/>
      <c r="E69" s="157"/>
      <c r="L69" s="157"/>
      <c r="M69" s="157"/>
      <c r="N69" s="274" t="s">
        <v>271</v>
      </c>
      <c r="O69" s="226">
        <f>Q62/$O$67</f>
        <v>1</v>
      </c>
      <c r="P69" s="217">
        <f>ROUND(O69*$P$66,0)</f>
        <v>100</v>
      </c>
      <c r="Q69" s="273">
        <f>P69</f>
        <v>100</v>
      </c>
    </row>
    <row r="70" spans="1:17" ht="15">
      <c r="A70" s="157"/>
      <c r="B70" s="157"/>
      <c r="C70" s="157"/>
      <c r="D70" s="157"/>
      <c r="E70" s="157"/>
      <c r="L70" s="157"/>
      <c r="M70" s="157"/>
      <c r="N70" s="274" t="s">
        <v>272</v>
      </c>
      <c r="O70" s="226">
        <f>Q63/$O$67</f>
        <v>0</v>
      </c>
      <c r="P70" s="217">
        <f>ROUND(O70*$P$66,0)</f>
        <v>0</v>
      </c>
      <c r="Q70" s="273">
        <f>P70</f>
        <v>0</v>
      </c>
    </row>
    <row r="71" spans="1:17" ht="15">
      <c r="A71" s="157"/>
      <c r="B71" s="157"/>
      <c r="C71" s="157"/>
      <c r="D71" s="157"/>
      <c r="E71" s="157"/>
      <c r="L71" s="157"/>
      <c r="M71" s="157"/>
      <c r="N71" s="174"/>
      <c r="O71" s="276">
        <f>SUM(O68:O70)</f>
        <v>1</v>
      </c>
      <c r="P71" s="224">
        <f>SUM(P68:P70)</f>
        <v>100</v>
      </c>
      <c r="Q71" s="224">
        <f>SUM(Q68:Q70)</f>
        <v>100</v>
      </c>
    </row>
    <row r="72" spans="1:16" ht="15">
      <c r="A72" s="157"/>
      <c r="B72" s="106"/>
      <c r="C72" s="106"/>
      <c r="D72" s="106"/>
      <c r="E72" s="106"/>
      <c r="L72" s="157"/>
      <c r="M72" s="157"/>
      <c r="N72" s="174"/>
      <c r="O72" s="174"/>
      <c r="P72" s="174"/>
    </row>
    <row r="73" spans="1:13" ht="15">
      <c r="A73" s="157"/>
      <c r="L73" s="157"/>
      <c r="M73" s="157"/>
    </row>
    <row r="74" spans="1:13" ht="15">
      <c r="A74" s="157"/>
      <c r="L74" s="157"/>
      <c r="M74" s="157"/>
    </row>
    <row r="75" spans="1:13" ht="15">
      <c r="A75" s="157"/>
      <c r="L75" s="157"/>
      <c r="M75" s="157"/>
    </row>
    <row r="76" spans="1:13" ht="15">
      <c r="A76" s="157"/>
      <c r="L76" s="157"/>
      <c r="M76" s="157"/>
    </row>
    <row r="77" spans="1:13" ht="15">
      <c r="A77" s="157"/>
      <c r="H77" s="157"/>
      <c r="I77" s="157"/>
      <c r="J77" s="157"/>
      <c r="K77" s="157"/>
      <c r="L77" s="157"/>
      <c r="M77" s="157"/>
    </row>
    <row r="78" spans="1:13" ht="15">
      <c r="A78" s="157"/>
      <c r="H78" s="157"/>
      <c r="I78" s="157"/>
      <c r="J78" s="157"/>
      <c r="K78" s="157"/>
      <c r="L78" s="157"/>
      <c r="M78" s="157"/>
    </row>
    <row r="79" spans="1:13" ht="15">
      <c r="A79" s="157"/>
      <c r="H79" s="157"/>
      <c r="I79" s="157"/>
      <c r="J79" s="157"/>
      <c r="K79" s="157"/>
      <c r="L79" s="157"/>
      <c r="M79" s="157"/>
    </row>
    <row r="80" spans="1:13" ht="15">
      <c r="A80" s="157"/>
      <c r="H80" s="157"/>
      <c r="I80" s="157"/>
      <c r="J80" s="157"/>
      <c r="K80" s="157"/>
      <c r="L80" s="157"/>
      <c r="M80" s="157"/>
    </row>
    <row r="81" spans="1:13" ht="1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</sheetData>
  <sheetProtection/>
  <mergeCells count="5">
    <mergeCell ref="I61:J61"/>
    <mergeCell ref="I57:J57"/>
    <mergeCell ref="I58:J58"/>
    <mergeCell ref="I59:J59"/>
    <mergeCell ref="I60:J60"/>
  </mergeCells>
  <conditionalFormatting sqref="G23">
    <cfRule type="cellIs" priority="1" dxfId="9" operator="equal" stopIfTrue="1">
      <formula>$G$22</formula>
    </cfRule>
  </conditionalFormatting>
  <conditionalFormatting sqref="E48:E49">
    <cfRule type="cellIs" priority="2" dxfId="7" operator="lessThan" stopIfTrue="1">
      <formula>0</formula>
    </cfRule>
  </conditionalFormatting>
  <hyperlinks>
    <hyperlink ref="K6" location="Ergebnisse!A1" display="weiter"/>
  </hyperlinks>
  <printOptions horizontalCentered="1" verticalCentered="1"/>
  <pageMargins left="0.7874015748031497" right="0.7874015748031497" top="0.984251968503937" bottom="0.71" header="0.5118110236220472" footer="0.38"/>
  <pageSetup fitToHeight="1" fitToWidth="1" horizontalDpi="300" verticalDpi="300" orientation="landscape" paperSize="9" r:id="rId4"/>
  <headerFooter alignWithMargins="0">
    <oddFooter>&amp;L(c) Dr. Jens Göttsche&amp;C&amp;"Arial,Fett"&amp;14Biegebemessung von Rechteckquerschnitten&amp;R&amp;F</oddFooter>
  </headerFooter>
  <ignoredErrors>
    <ignoredError sqref="J43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J34"/>
  <sheetViews>
    <sheetView zoomScale="104" zoomScaleNormal="104" zoomScalePageLayoutView="0" workbookViewId="0" topLeftCell="A1">
      <selection activeCell="A2" sqref="A2"/>
    </sheetView>
  </sheetViews>
  <sheetFormatPr defaultColWidth="11.5546875" defaultRowHeight="15"/>
  <cols>
    <col min="1" max="1" width="5.21484375" style="157" customWidth="1"/>
    <col min="2" max="2" width="8.99609375" style="157" customWidth="1"/>
    <col min="3" max="5" width="11.5546875" style="157" customWidth="1"/>
    <col min="6" max="6" width="5.10546875" style="157" customWidth="1"/>
    <col min="7" max="7" width="10.77734375" style="157" customWidth="1"/>
    <col min="8" max="8" width="11.77734375" style="157" customWidth="1"/>
    <col min="9" max="9" width="11.88671875" style="157" customWidth="1"/>
    <col min="10" max="10" width="11.5546875" style="157" customWidth="1"/>
    <col min="11" max="11" width="3.5546875" style="157" customWidth="1"/>
    <col min="12" max="16384" width="11.5546875" style="157" customWidth="1"/>
  </cols>
  <sheetData>
    <row r="1" s="11" customFormat="1" ht="6.75" customHeight="1"/>
    <row r="2" spans="2:4" s="11" customFormat="1" ht="12.75" customHeight="1">
      <c r="B2" s="8" t="str">
        <f>Dateneingabe!B2</f>
        <v>Biegebemessung</v>
      </c>
      <c r="C2" s="12"/>
      <c r="D2" s="12"/>
    </row>
    <row r="3" s="11" customFormat="1" ht="12.75" customHeight="1">
      <c r="B3" s="11" t="str">
        <f>Dateneingabe!B3</f>
        <v>von gevouteten T-Querschnitten aus Stahlbeton mit und ohne Druckbewehrung</v>
      </c>
    </row>
    <row r="4" spans="1:10" s="11" customFormat="1" ht="4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="11" customFormat="1" ht="6.75" customHeight="1"/>
    <row r="6" spans="2:10" s="11" customFormat="1" ht="12.75" customHeight="1">
      <c r="B6" s="14" t="s">
        <v>166</v>
      </c>
      <c r="J6" s="202" t="s">
        <v>9</v>
      </c>
    </row>
    <row r="7" s="106" customFormat="1" ht="6.75" customHeight="1"/>
    <row r="8" spans="3:10" s="106" customFormat="1" ht="12.75">
      <c r="C8" s="163"/>
      <c r="D8" s="164"/>
      <c r="E8" s="165"/>
      <c r="G8" s="169" t="s">
        <v>303</v>
      </c>
      <c r="H8" s="302">
        <f>Datenbasis!$K$10</f>
        <v>-173.745</v>
      </c>
      <c r="I8" s="106" t="s">
        <v>0</v>
      </c>
      <c r="J8" s="202" t="s">
        <v>191</v>
      </c>
    </row>
    <row r="9" spans="3:9" s="106" customFormat="1" ht="12.75">
      <c r="C9" s="166"/>
      <c r="D9" s="167"/>
      <c r="E9" s="168"/>
      <c r="G9" s="169" t="s">
        <v>304</v>
      </c>
      <c r="H9" s="302">
        <f>Datenbasis!$K$11</f>
        <v>511.236</v>
      </c>
      <c r="I9" s="106" t="s">
        <v>1</v>
      </c>
    </row>
    <row r="10" spans="8:9" s="106" customFormat="1" ht="12.75">
      <c r="H10" s="300" t="s">
        <v>302</v>
      </c>
      <c r="I10" s="301" t="s">
        <v>305</v>
      </c>
    </row>
    <row r="11" spans="2:10" s="106" customFormat="1" ht="12.75">
      <c r="B11" s="205"/>
      <c r="C11" s="206"/>
      <c r="D11" s="207" t="s">
        <v>177</v>
      </c>
      <c r="E11" s="208">
        <f>Dateneingabe!C31</f>
        <v>1.98</v>
      </c>
      <c r="G11" s="169" t="s">
        <v>132</v>
      </c>
      <c r="H11" s="219">
        <f>Datenbasis!$K$12</f>
        <v>601.00425</v>
      </c>
      <c r="I11" s="219">
        <f>Datenbasis!V21+Datenbasis!K14</f>
        <v>617.9175229663049</v>
      </c>
      <c r="J11" s="106" t="s">
        <v>1</v>
      </c>
    </row>
    <row r="12" s="106" customFormat="1" ht="9.75" customHeight="1"/>
    <row r="13" spans="2:7" s="106" customFormat="1" ht="12.75">
      <c r="B13" s="12" t="s">
        <v>165</v>
      </c>
      <c r="G13" s="12" t="s">
        <v>167</v>
      </c>
    </row>
    <row r="14" s="106" customFormat="1" ht="12.75"/>
    <row r="15" s="106" customFormat="1" ht="12.75">
      <c r="B15" s="173" t="s">
        <v>175</v>
      </c>
    </row>
    <row r="16" spans="2:7" s="106" customFormat="1" ht="12.75">
      <c r="B16" s="266">
        <f>Datenbasis!L21</f>
        <v>-3.418683173888579</v>
      </c>
      <c r="G16" s="173" t="s">
        <v>178</v>
      </c>
    </row>
    <row r="17" s="106" customFormat="1" ht="12.75">
      <c r="G17" s="269">
        <f>Datenbasis!T12</f>
        <v>0</v>
      </c>
    </row>
    <row r="18" spans="2:7" s="106" customFormat="1" ht="12.75">
      <c r="B18" s="173" t="s">
        <v>189</v>
      </c>
      <c r="G18" s="148"/>
    </row>
    <row r="19" spans="2:7" s="106" customFormat="1" ht="12.75">
      <c r="B19" s="267">
        <f>Datenbasis!T15</f>
        <v>-3.0087719298245617</v>
      </c>
      <c r="G19" s="173" t="s">
        <v>180</v>
      </c>
    </row>
    <row r="20" s="106" customFormat="1" ht="12.75">
      <c r="G20" s="270">
        <f>Datenbasis!R18</f>
        <v>-683.6802697725087</v>
      </c>
    </row>
    <row r="21" spans="2:7" s="106" customFormat="1" ht="12.75">
      <c r="B21" s="173" t="s">
        <v>124</v>
      </c>
      <c r="G21" s="148"/>
    </row>
    <row r="22" spans="2:7" s="106" customFormat="1" ht="12.75">
      <c r="B22" s="267">
        <f>Datenbasis!R17</f>
        <v>0.45</v>
      </c>
      <c r="G22" s="173" t="s">
        <v>152</v>
      </c>
    </row>
    <row r="23" s="106" customFormat="1" ht="12.75">
      <c r="G23" s="266">
        <f>Datenbasis!P17</f>
        <v>0.9513796530587301</v>
      </c>
    </row>
    <row r="24" spans="2:7" s="106" customFormat="1" ht="12.75">
      <c r="B24" s="173" t="s">
        <v>151</v>
      </c>
      <c r="G24" s="148"/>
    </row>
    <row r="25" spans="2:7" s="106" customFormat="1" ht="12.75">
      <c r="B25" s="267">
        <f>Datenbasis!P16</f>
        <v>0.12029702970297038</v>
      </c>
      <c r="G25" s="148"/>
    </row>
    <row r="26" spans="2:7" s="106" customFormat="1" ht="12.75">
      <c r="B26" s="148"/>
      <c r="G26" s="148"/>
    </row>
    <row r="27" spans="2:7" s="106" customFormat="1" ht="12.75">
      <c r="B27" s="173" t="s">
        <v>182</v>
      </c>
      <c r="G27" s="173" t="s">
        <v>179</v>
      </c>
    </row>
    <row r="28" spans="2:7" s="106" customFormat="1" ht="12.75">
      <c r="B28" s="266">
        <f>Datenbasis!K21</f>
        <v>25</v>
      </c>
      <c r="G28" s="269">
        <f>Datenbasis!T13</f>
        <v>509.9352697725087</v>
      </c>
    </row>
    <row r="29" spans="2:7" s="106" customFormat="1" ht="12.75">
      <c r="B29" s="148"/>
      <c r="G29" s="148"/>
    </row>
    <row r="30" s="106" customFormat="1" ht="12.75"/>
    <row r="31" s="106" customFormat="1" ht="12.75"/>
    <row r="32" spans="2:10" s="106" customFormat="1" ht="12.75">
      <c r="B32" s="173" t="s">
        <v>174</v>
      </c>
      <c r="C32" s="268" t="str">
        <f>CONCATENATE(BOben," / ",Datenbasis!K5)</f>
        <v>70 / 100</v>
      </c>
      <c r="D32" s="173" t="s">
        <v>181</v>
      </c>
      <c r="E32" s="268" t="str">
        <f>CONCATENATE(RUnten," / ",Datenbasis!M2)</f>
        <v>5 / 6</v>
      </c>
      <c r="F32" s="148"/>
      <c r="G32" s="148" t="s">
        <v>171</v>
      </c>
      <c r="H32" s="271">
        <f>IF(ISNUMBER(Datenbasis!P9),Datenbasis!P9,IF(Datenbasis!R16&lt;&gt;"Druckstab",Datenbasis!#REF!,"-------"))</f>
        <v>0</v>
      </c>
      <c r="I32" s="173" t="s">
        <v>172</v>
      </c>
      <c r="J32" s="271">
        <f>IF(ISNUMBER(Datenbasis!P10),Datenbasis!P10,Datenbasis!#REF!)</f>
        <v>11.7285112047677</v>
      </c>
    </row>
    <row r="33" spans="2:9" s="106" customFormat="1" ht="12.75">
      <c r="B33" s="148"/>
      <c r="C33" s="148"/>
      <c r="D33" s="148"/>
      <c r="E33" s="148"/>
      <c r="F33" s="148"/>
      <c r="G33" s="148" t="s">
        <v>173</v>
      </c>
      <c r="H33" s="148"/>
      <c r="I33" s="148" t="s">
        <v>176</v>
      </c>
    </row>
    <row r="34" spans="1:10" s="106" customFormat="1" ht="12.75">
      <c r="A34" s="203"/>
      <c r="B34" s="203"/>
      <c r="C34" s="203"/>
      <c r="D34" s="203"/>
      <c r="E34" s="203"/>
      <c r="F34" s="203"/>
      <c r="G34" s="203"/>
      <c r="H34" s="203"/>
      <c r="I34" s="203"/>
      <c r="J34" s="203"/>
    </row>
  </sheetData>
  <sheetProtection/>
  <conditionalFormatting sqref="G17">
    <cfRule type="cellIs" priority="1" dxfId="5" operator="equal" stopIfTrue="1">
      <formula>0</formula>
    </cfRule>
  </conditionalFormatting>
  <conditionalFormatting sqref="H32">
    <cfRule type="cellIs" priority="2" dxfId="5" operator="equal" stopIfTrue="1">
      <formula>0</formula>
    </cfRule>
    <cfRule type="cellIs" priority="3" dxfId="3" operator="equal" stopIfTrue="1">
      <formula>"-------"</formula>
    </cfRule>
  </conditionalFormatting>
  <conditionalFormatting sqref="J32">
    <cfRule type="cellIs" priority="4" dxfId="3" operator="equal" stopIfTrue="1">
      <formula>"--------"</formula>
    </cfRule>
  </conditionalFormatting>
  <hyperlinks>
    <hyperlink ref="J6" location="Diagramme!A1" display="weiter"/>
    <hyperlink ref="J8" location="Dateneingabe!A1" display="zurück"/>
  </hyperlinks>
  <printOptions horizontalCentered="1" verticalCentered="1"/>
  <pageMargins left="0.37" right="0.46" top="0.984251968503937" bottom="0.7480314960629921" header="0.5118110236220472" footer="0.35433070866141736"/>
  <pageSetup fitToHeight="1" fitToWidth="1" horizontalDpi="300" verticalDpi="300" orientation="landscape" paperSize="9" r:id="rId3"/>
  <headerFooter alignWithMargins="0">
    <oddFooter>&amp;L(c) Dr. Jens Göttsche&amp;C&amp;"Arial,Fett"&amp;14Biegebemessung von Rechteckquerschnitten&amp;R&amp;F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.77734375" style="157" customWidth="1"/>
    <col min="2" max="91" width="5.77734375" style="157" customWidth="1"/>
    <col min="92" max="16384" width="11.5546875" style="157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E228"/>
  <sheetViews>
    <sheetView zoomScale="91" zoomScaleNormal="91" zoomScalePageLayoutView="0" workbookViewId="0" topLeftCell="A34">
      <selection activeCell="E54" sqref="E54"/>
    </sheetView>
  </sheetViews>
  <sheetFormatPr defaultColWidth="11.5546875" defaultRowHeight="15"/>
  <cols>
    <col min="1" max="1" width="2.88671875" style="62" customWidth="1"/>
    <col min="2" max="2" width="10.4453125" style="62" customWidth="1"/>
    <col min="3" max="3" width="9.5546875" style="62" customWidth="1"/>
    <col min="4" max="4" width="9.99609375" style="62" customWidth="1"/>
    <col min="5" max="5" width="10.10546875" style="62" customWidth="1"/>
    <col min="6" max="7" width="9.6640625" style="62" customWidth="1"/>
    <col min="8" max="8" width="8.77734375" style="62" customWidth="1"/>
    <col min="9" max="9" width="2.77734375" style="62" customWidth="1"/>
    <col min="10" max="10" width="9.77734375" style="62" customWidth="1"/>
    <col min="11" max="11" width="8.99609375" style="62" customWidth="1"/>
    <col min="12" max="12" width="10.21484375" style="62" customWidth="1"/>
    <col min="13" max="13" width="8.5546875" style="62" customWidth="1"/>
    <col min="14" max="14" width="6.88671875" style="62" customWidth="1"/>
    <col min="15" max="15" width="6.6640625" style="62" customWidth="1"/>
    <col min="16" max="16" width="8.4453125" style="62" customWidth="1"/>
    <col min="17" max="17" width="9.21484375" style="62" customWidth="1"/>
    <col min="18" max="18" width="10.10546875" style="62" bestFit="1" customWidth="1"/>
    <col min="19" max="19" width="8.88671875" style="62" customWidth="1"/>
    <col min="20" max="20" width="7.77734375" style="62" customWidth="1"/>
    <col min="21" max="21" width="8.3359375" style="62" customWidth="1"/>
    <col min="22" max="22" width="10.3359375" style="62" customWidth="1"/>
    <col min="23" max="23" width="8.3359375" style="62" customWidth="1"/>
    <col min="24" max="24" width="8.99609375" style="62" bestFit="1" customWidth="1"/>
    <col min="25" max="25" width="3.99609375" style="62" customWidth="1"/>
    <col min="26" max="26" width="7.4453125" style="62" customWidth="1"/>
    <col min="27" max="30" width="7.6640625" style="62" customWidth="1"/>
    <col min="31" max="31" width="4.21484375" style="62" customWidth="1"/>
    <col min="32" max="16384" width="11.5546875" style="62" customWidth="1"/>
  </cols>
  <sheetData>
    <row r="1" spans="1:31" ht="15.75" customHeight="1">
      <c r="A1" s="57"/>
      <c r="B1" s="58" t="s">
        <v>34</v>
      </c>
      <c r="C1" s="58" t="s">
        <v>35</v>
      </c>
      <c r="D1" s="57"/>
      <c r="E1" s="57"/>
      <c r="F1" s="57"/>
      <c r="G1" s="57"/>
      <c r="H1" s="57"/>
      <c r="I1" s="57"/>
      <c r="J1" s="85" t="s">
        <v>36</v>
      </c>
      <c r="K1" s="59" t="s">
        <v>37</v>
      </c>
      <c r="L1" s="105" t="s">
        <v>38</v>
      </c>
      <c r="M1" s="60" t="s">
        <v>37</v>
      </c>
      <c r="N1" s="57"/>
      <c r="O1" s="85" t="s">
        <v>238</v>
      </c>
      <c r="P1" s="59" t="s">
        <v>240</v>
      </c>
      <c r="Q1" s="238" t="s">
        <v>241</v>
      </c>
      <c r="R1" s="238" t="s">
        <v>245</v>
      </c>
      <c r="S1" s="239" t="s">
        <v>246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.75" customHeight="1" thickBot="1">
      <c r="A2" s="57"/>
      <c r="B2" s="17">
        <v>1</v>
      </c>
      <c r="C2" s="18">
        <f>IF(C4,1,2)</f>
        <v>1</v>
      </c>
      <c r="D2" s="57"/>
      <c r="E2" s="57"/>
      <c r="F2" s="57"/>
      <c r="G2" s="57"/>
      <c r="H2" s="57"/>
      <c r="I2" s="57"/>
      <c r="J2" s="98" t="s">
        <v>233</v>
      </c>
      <c r="K2" s="34">
        <f>Dateneingabe!E19</f>
        <v>70</v>
      </c>
      <c r="L2" s="64" t="s">
        <v>111</v>
      </c>
      <c r="M2" s="114">
        <f>Dateneingabe!E27</f>
        <v>6</v>
      </c>
      <c r="N2" s="57"/>
      <c r="O2" s="81" t="s">
        <v>239</v>
      </c>
      <c r="P2" s="4">
        <f>Dateneingabe!F53</f>
        <v>0</v>
      </c>
      <c r="Q2" s="102">
        <f>IF(P2=0,0,Dateneingabe!Q61/P2)</f>
        <v>0</v>
      </c>
      <c r="R2" s="33">
        <f>-Dateneingabe!K64</f>
        <v>-43.333333333333336</v>
      </c>
      <c r="S2" s="35">
        <f>R2+Q2*P2</f>
        <v>-43.333333333333336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5.75" customHeight="1">
      <c r="A3" s="57"/>
      <c r="B3" s="67" t="s">
        <v>40</v>
      </c>
      <c r="C3" s="19" t="s">
        <v>41</v>
      </c>
      <c r="D3" s="57"/>
      <c r="E3" s="57"/>
      <c r="F3" s="57"/>
      <c r="G3" s="57"/>
      <c r="H3" s="57"/>
      <c r="I3" s="57"/>
      <c r="J3" s="98" t="s">
        <v>234</v>
      </c>
      <c r="K3" s="34">
        <f>Dateneingabe!E20</f>
        <v>20</v>
      </c>
      <c r="L3" s="64" t="s">
        <v>125</v>
      </c>
      <c r="M3" s="114">
        <f>Dateneingabe!E28</f>
        <v>5</v>
      </c>
      <c r="N3" s="57"/>
      <c r="O3" s="81" t="s">
        <v>208</v>
      </c>
      <c r="P3" s="4">
        <f>Dateneingabe!F57</f>
        <v>100</v>
      </c>
      <c r="Q3" s="102">
        <f>IF(P3=0,0,Dateneingabe!Q62/P3)</f>
        <v>0.4275</v>
      </c>
      <c r="R3" s="33">
        <f>S2</f>
        <v>-43.333333333333336</v>
      </c>
      <c r="S3" s="35">
        <f>R3+Q3*P3</f>
        <v>-0.5833333333333357</v>
      </c>
      <c r="T3" s="61"/>
      <c r="U3" s="61"/>
      <c r="V3" s="57"/>
      <c r="W3" s="57"/>
      <c r="X3" s="57"/>
      <c r="Y3" s="57"/>
      <c r="Z3" s="57"/>
      <c r="AA3" s="85" t="s">
        <v>232</v>
      </c>
      <c r="AB3" s="59"/>
      <c r="AC3" s="59"/>
      <c r="AD3" s="60"/>
      <c r="AE3" s="57"/>
    </row>
    <row r="4" spans="1:31" ht="15.75" customHeight="1" thickBot="1">
      <c r="A4" s="57"/>
      <c r="B4" s="68" t="s">
        <v>42</v>
      </c>
      <c r="C4" s="20" t="b">
        <v>1</v>
      </c>
      <c r="D4" s="57"/>
      <c r="E4" s="57"/>
      <c r="F4" s="57"/>
      <c r="G4" s="57"/>
      <c r="H4" s="57"/>
      <c r="I4" s="57"/>
      <c r="J4" s="98" t="s">
        <v>235</v>
      </c>
      <c r="K4" s="34">
        <f>Dateneingabe!E21</f>
        <v>30</v>
      </c>
      <c r="L4" s="64" t="s">
        <v>43</v>
      </c>
      <c r="M4" s="115">
        <f>K5-RUnten</f>
        <v>95</v>
      </c>
      <c r="N4" s="57"/>
      <c r="O4" s="81" t="s">
        <v>209</v>
      </c>
      <c r="P4" s="4">
        <f>Dateneingabe!F61</f>
        <v>0</v>
      </c>
      <c r="Q4" s="102">
        <f>IF(P4=0,0,Dateneingabe!Q63/P4)</f>
        <v>0</v>
      </c>
      <c r="R4" s="33">
        <f>S3</f>
        <v>-0.5833333333333357</v>
      </c>
      <c r="S4" s="35">
        <f>R4+Q4*P4</f>
        <v>-0.5833333333333357</v>
      </c>
      <c r="T4" s="61"/>
      <c r="U4" s="61"/>
      <c r="V4" s="57"/>
      <c r="W4" s="57"/>
      <c r="X4" s="57"/>
      <c r="Y4" s="57"/>
      <c r="Z4" s="57"/>
      <c r="AA4" s="232" t="s">
        <v>228</v>
      </c>
      <c r="AB4" s="231" t="s">
        <v>229</v>
      </c>
      <c r="AC4" s="231" t="s">
        <v>230</v>
      </c>
      <c r="AD4" s="233" t="s">
        <v>231</v>
      </c>
      <c r="AE4" s="57"/>
    </row>
    <row r="5" spans="1:31" ht="15.75" customHeight="1" thickBot="1">
      <c r="A5" s="57"/>
      <c r="B5" s="57"/>
      <c r="C5" s="21"/>
      <c r="D5" s="21"/>
      <c r="E5" s="21"/>
      <c r="F5" s="21"/>
      <c r="G5" s="21"/>
      <c r="H5" s="21"/>
      <c r="I5" s="21"/>
      <c r="J5" s="98" t="s">
        <v>39</v>
      </c>
      <c r="K5" s="113">
        <f>Dateneingabe!E23</f>
        <v>100</v>
      </c>
      <c r="L5" s="64" t="s">
        <v>126</v>
      </c>
      <c r="M5" s="114">
        <f>M4-ROben</f>
        <v>89</v>
      </c>
      <c r="N5" s="57"/>
      <c r="O5" s="100" t="s">
        <v>273</v>
      </c>
      <c r="P5" s="93"/>
      <c r="Q5" s="280">
        <f>P2*Q2+P3*Q3+P4*Q4</f>
        <v>42.75</v>
      </c>
      <c r="R5" s="120"/>
      <c r="S5" s="140"/>
      <c r="T5" s="61"/>
      <c r="U5" s="61"/>
      <c r="V5" s="57"/>
      <c r="W5" s="57"/>
      <c r="X5" s="57"/>
      <c r="Y5" s="57"/>
      <c r="Z5" s="57"/>
      <c r="AA5" s="81">
        <v>200</v>
      </c>
      <c r="AB5" s="4">
        <v>70</v>
      </c>
      <c r="AC5" s="4">
        <v>200</v>
      </c>
      <c r="AD5" s="137">
        <v>200</v>
      </c>
      <c r="AE5" s="57"/>
    </row>
    <row r="6" spans="1:31" ht="15.75" customHeight="1" thickBot="1">
      <c r="A6" s="57"/>
      <c r="B6" s="22">
        <v>1</v>
      </c>
      <c r="C6" s="73" t="s">
        <v>44</v>
      </c>
      <c r="D6" s="23"/>
      <c r="E6" s="73"/>
      <c r="F6" s="24" t="str">
        <f>INDEX(B10:B11,B6)</f>
        <v>Grundkombination</v>
      </c>
      <c r="G6" s="25"/>
      <c r="H6" s="26"/>
      <c r="I6" s="21"/>
      <c r="J6" s="136" t="s">
        <v>236</v>
      </c>
      <c r="K6" s="113">
        <f>Dateneingabe!E24</f>
        <v>0</v>
      </c>
      <c r="L6" s="71" t="s">
        <v>129</v>
      </c>
      <c r="M6" s="114">
        <f>K5-M7-RUnten</f>
        <v>51.666666666666664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81">
        <v>0</v>
      </c>
      <c r="AB6" s="4">
        <v>20</v>
      </c>
      <c r="AC6" s="4">
        <v>40</v>
      </c>
      <c r="AD6" s="137">
        <v>40</v>
      </c>
      <c r="AE6" s="57"/>
    </row>
    <row r="7" spans="1:31" ht="15.75" customHeight="1" thickBot="1">
      <c r="A7" s="57"/>
      <c r="B7" s="30" t="s">
        <v>45</v>
      </c>
      <c r="C7" s="27"/>
      <c r="D7" s="27"/>
      <c r="E7" s="27" t="s">
        <v>46</v>
      </c>
      <c r="F7" s="27" t="s">
        <v>47</v>
      </c>
      <c r="G7" s="27"/>
      <c r="H7" s="31"/>
      <c r="I7" s="21"/>
      <c r="J7" s="234" t="s">
        <v>237</v>
      </c>
      <c r="K7" s="235">
        <f>Dateneingabe!E25</f>
        <v>100</v>
      </c>
      <c r="L7" s="120" t="s">
        <v>306</v>
      </c>
      <c r="M7" s="121">
        <f>Dateneingabe!K64</f>
        <v>43.333333333333336</v>
      </c>
      <c r="N7" s="57"/>
      <c r="O7" s="85" t="s">
        <v>159</v>
      </c>
      <c r="P7" s="59"/>
      <c r="Q7" s="147"/>
      <c r="R7" s="147"/>
      <c r="S7" s="59"/>
      <c r="T7" s="59"/>
      <c r="U7" s="60"/>
      <c r="V7" s="57"/>
      <c r="W7" s="57"/>
      <c r="X7" s="57"/>
      <c r="Y7" s="57"/>
      <c r="Z7" s="57"/>
      <c r="AA7" s="81">
        <v>30</v>
      </c>
      <c r="AB7" s="4">
        <v>30</v>
      </c>
      <c r="AC7" s="4">
        <v>40</v>
      </c>
      <c r="AD7" s="137">
        <v>30</v>
      </c>
      <c r="AE7" s="57"/>
    </row>
    <row r="8" spans="1:31" ht="15.75" customHeight="1" thickBot="1">
      <c r="A8" s="57"/>
      <c r="B8" s="81"/>
      <c r="C8" s="33"/>
      <c r="D8" s="32"/>
      <c r="E8" s="34">
        <f>INDEX(E10:E11,$B$6)</f>
        <v>1.5</v>
      </c>
      <c r="F8" s="34">
        <f>INDEX(F10:F11,$B$6)</f>
        <v>1.15</v>
      </c>
      <c r="G8" s="33"/>
      <c r="H8" s="35"/>
      <c r="I8" s="21"/>
      <c r="J8" s="57"/>
      <c r="K8" s="57"/>
      <c r="L8" s="57"/>
      <c r="M8" s="57"/>
      <c r="N8" s="57"/>
      <c r="O8" s="188"/>
      <c r="P8" s="180"/>
      <c r="Q8" s="181"/>
      <c r="R8" s="183"/>
      <c r="S8" s="179"/>
      <c r="T8" s="185"/>
      <c r="U8" s="189"/>
      <c r="V8" s="57"/>
      <c r="W8" s="57"/>
      <c r="X8" s="57"/>
      <c r="Y8" s="57"/>
      <c r="Z8" s="57"/>
      <c r="AA8" s="81"/>
      <c r="AB8" s="4"/>
      <c r="AC8" s="4"/>
      <c r="AD8" s="137"/>
      <c r="AE8" s="57"/>
    </row>
    <row r="9" spans="1:31" ht="15.75" customHeight="1">
      <c r="A9" s="57"/>
      <c r="B9" s="30" t="s">
        <v>45</v>
      </c>
      <c r="C9" s="27"/>
      <c r="D9" s="27"/>
      <c r="E9" s="27" t="s">
        <v>46</v>
      </c>
      <c r="F9" s="27" t="s">
        <v>47</v>
      </c>
      <c r="G9" s="27"/>
      <c r="H9" s="31"/>
      <c r="I9" s="21"/>
      <c r="J9" s="85" t="s">
        <v>117</v>
      </c>
      <c r="K9" s="59"/>
      <c r="L9" s="59"/>
      <c r="M9" s="60"/>
      <c r="N9" s="57"/>
      <c r="O9" s="136" t="s">
        <v>150</v>
      </c>
      <c r="P9" s="156">
        <f>V144</f>
        <v>0</v>
      </c>
      <c r="Q9" s="33" t="s">
        <v>2</v>
      </c>
      <c r="S9" s="186" t="s">
        <v>156</v>
      </c>
      <c r="T9" s="34">
        <f>V139</f>
        <v>-43.47826086956522</v>
      </c>
      <c r="U9" s="35" t="s">
        <v>21</v>
      </c>
      <c r="V9" s="57"/>
      <c r="W9" s="57"/>
      <c r="X9" s="57"/>
      <c r="Y9" s="57"/>
      <c r="Z9" s="57"/>
      <c r="AA9" s="81">
        <v>120</v>
      </c>
      <c r="AB9" s="4">
        <v>100</v>
      </c>
      <c r="AC9" s="4">
        <v>120</v>
      </c>
      <c r="AD9" s="137">
        <v>120</v>
      </c>
      <c r="AE9" s="57"/>
    </row>
    <row r="10" spans="1:31" ht="15.75" customHeight="1">
      <c r="A10" s="57"/>
      <c r="B10" s="308" t="s">
        <v>48</v>
      </c>
      <c r="C10" s="309"/>
      <c r="D10" s="309"/>
      <c r="E10" s="33">
        <v>1.5</v>
      </c>
      <c r="F10" s="33">
        <v>1.15</v>
      </c>
      <c r="G10" s="33"/>
      <c r="H10" s="35"/>
      <c r="I10" s="21"/>
      <c r="J10" s="136" t="s">
        <v>130</v>
      </c>
      <c r="K10" s="34">
        <f>Dateneingabe!E30*Dateneingabe!C31</f>
        <v>-173.745</v>
      </c>
      <c r="L10" s="4" t="s">
        <v>0</v>
      </c>
      <c r="M10" s="35"/>
      <c r="N10" s="57"/>
      <c r="O10" s="190" t="s">
        <v>149</v>
      </c>
      <c r="P10" s="182">
        <f>V143</f>
        <v>11.7285112047677</v>
      </c>
      <c r="Q10" s="184" t="s">
        <v>2</v>
      </c>
      <c r="S10" s="186" t="s">
        <v>155</v>
      </c>
      <c r="T10" s="34">
        <f>U21</f>
        <v>43.47826086956522</v>
      </c>
      <c r="U10" s="35" t="s">
        <v>21</v>
      </c>
      <c r="V10" s="57"/>
      <c r="W10" s="57"/>
      <c r="X10" s="57"/>
      <c r="Y10" s="57"/>
      <c r="Z10" s="57"/>
      <c r="AA10" s="81">
        <v>24</v>
      </c>
      <c r="AB10" s="4">
        <v>0</v>
      </c>
      <c r="AC10" s="4">
        <v>20</v>
      </c>
      <c r="AD10" s="137">
        <v>24</v>
      </c>
      <c r="AE10" s="57"/>
    </row>
    <row r="11" spans="1:31" ht="15.75" customHeight="1" thickBot="1">
      <c r="A11" s="57"/>
      <c r="B11" s="306" t="s">
        <v>49</v>
      </c>
      <c r="C11" s="307"/>
      <c r="D11" s="307"/>
      <c r="E11" s="36">
        <v>1.3</v>
      </c>
      <c r="F11" s="36">
        <v>1</v>
      </c>
      <c r="G11" s="36"/>
      <c r="H11" s="37"/>
      <c r="I11" s="21"/>
      <c r="J11" s="136" t="s">
        <v>131</v>
      </c>
      <c r="K11" s="34">
        <f>Dateneingabe!E31*Dateneingabe!C31</f>
        <v>511.236</v>
      </c>
      <c r="L11" s="4" t="s">
        <v>1</v>
      </c>
      <c r="M11" s="137"/>
      <c r="N11" s="57"/>
      <c r="O11" s="63"/>
      <c r="P11" s="5"/>
      <c r="Q11" s="5"/>
      <c r="R11" s="33"/>
      <c r="S11" s="187"/>
      <c r="T11" s="5"/>
      <c r="U11" s="72"/>
      <c r="V11" s="57"/>
      <c r="W11" s="57"/>
      <c r="X11" s="57"/>
      <c r="Y11" s="57"/>
      <c r="Z11" s="57"/>
      <c r="AA11" s="100">
        <v>0</v>
      </c>
      <c r="AB11" s="93">
        <v>100</v>
      </c>
      <c r="AC11" s="93">
        <v>100</v>
      </c>
      <c r="AD11" s="140">
        <v>20</v>
      </c>
      <c r="AE11" s="57"/>
    </row>
    <row r="12" spans="1:31" ht="15.75" customHeight="1" thickBot="1">
      <c r="A12" s="57"/>
      <c r="B12" s="38"/>
      <c r="C12" s="38"/>
      <c r="D12" s="38"/>
      <c r="E12" s="39"/>
      <c r="F12" s="39"/>
      <c r="G12" s="39"/>
      <c r="H12" s="39"/>
      <c r="I12" s="21"/>
      <c r="J12" s="136" t="s">
        <v>132</v>
      </c>
      <c r="K12" s="34">
        <f>K11-K10*M6/100</f>
        <v>601.00425</v>
      </c>
      <c r="L12" s="4" t="s">
        <v>1</v>
      </c>
      <c r="M12" s="137"/>
      <c r="N12" s="57"/>
      <c r="O12" s="191" t="s">
        <v>188</v>
      </c>
      <c r="P12" s="175"/>
      <c r="Q12" s="33"/>
      <c r="R12" s="5"/>
      <c r="S12" s="176" t="s">
        <v>157</v>
      </c>
      <c r="T12" s="113">
        <f>V135</f>
        <v>0</v>
      </c>
      <c r="U12" s="35" t="s">
        <v>0</v>
      </c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ht="15.75" customHeight="1">
      <c r="A13" s="57"/>
      <c r="B13" s="125">
        <v>1</v>
      </c>
      <c r="C13" s="73" t="s">
        <v>50</v>
      </c>
      <c r="D13" s="23"/>
      <c r="E13" s="24" t="str">
        <f>INDEX(B17:B18,B13)</f>
        <v>BSt 500 SA</v>
      </c>
      <c r="F13" s="84" t="str">
        <f>IF(C2=2,"f_td &gt; f_yd","f_yd = f_td")</f>
        <v>f_yd = f_td</v>
      </c>
      <c r="G13" s="40">
        <v>20000</v>
      </c>
      <c r="H13" s="41">
        <v>0.025</v>
      </c>
      <c r="I13" s="21"/>
      <c r="J13" s="136" t="s">
        <v>147</v>
      </c>
      <c r="K13" s="34">
        <f>V124</f>
        <v>1658.346785806839</v>
      </c>
      <c r="L13" s="4" t="s">
        <v>1</v>
      </c>
      <c r="M13" s="137"/>
      <c r="N13" s="57"/>
      <c r="O13" s="136" t="s">
        <v>183</v>
      </c>
      <c r="P13" s="171">
        <f>M21</f>
        <v>11.428217821782185</v>
      </c>
      <c r="Q13" s="5"/>
      <c r="R13" s="5"/>
      <c r="S13" s="176" t="s">
        <v>158</v>
      </c>
      <c r="T13" s="113">
        <f>W21+V134</f>
        <v>509.9352697725087</v>
      </c>
      <c r="U13" s="35" t="s">
        <v>0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ht="15.75" customHeight="1" thickBot="1">
      <c r="A14" s="57"/>
      <c r="B14" s="30" t="s">
        <v>51</v>
      </c>
      <c r="C14" s="27" t="s">
        <v>52</v>
      </c>
      <c r="D14" s="27" t="s">
        <v>53</v>
      </c>
      <c r="E14" s="27" t="s">
        <v>54</v>
      </c>
      <c r="F14" s="27" t="s">
        <v>55</v>
      </c>
      <c r="G14" s="45" t="s">
        <v>56</v>
      </c>
      <c r="H14" s="31" t="s">
        <v>57</v>
      </c>
      <c r="I14" s="21"/>
      <c r="J14" s="138" t="s">
        <v>133</v>
      </c>
      <c r="K14" s="139">
        <f>IF(K12-K13&lt;0,0,K12-K13)</f>
        <v>0</v>
      </c>
      <c r="L14" s="93" t="s">
        <v>1</v>
      </c>
      <c r="M14" s="140"/>
      <c r="N14" s="57"/>
      <c r="O14" s="136" t="s">
        <v>184</v>
      </c>
      <c r="P14" s="171">
        <f>-R21+M21</f>
        <v>4.618932959420647</v>
      </c>
      <c r="Q14" s="178" t="s">
        <v>154</v>
      </c>
      <c r="R14" s="178"/>
      <c r="S14" s="187"/>
      <c r="T14" s="5"/>
      <c r="U14" s="72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ht="15.75" customHeight="1" thickBot="1">
      <c r="A15" s="57"/>
      <c r="B15" s="42"/>
      <c r="C15" s="34">
        <f>INDEX(C17:C18,$B$13)</f>
        <v>50</v>
      </c>
      <c r="D15" s="34">
        <f>INDEX(D17:D18,$B$13)</f>
        <v>52.5</v>
      </c>
      <c r="E15" s="34">
        <f>INDEX(E17:E18,$B$13)</f>
        <v>43.47826086956522</v>
      </c>
      <c r="F15" s="34">
        <f>IF(C2=2,INDEX(F17:F18,$B$13),E15)</f>
        <v>43.47826086956522</v>
      </c>
      <c r="G15" s="43">
        <f>INDEX(G17:G18,$B$13)</f>
        <v>0.0025</v>
      </c>
      <c r="H15" s="44">
        <f>INDEX(H17:H18,$B$13)</f>
        <v>0.002173913043478261</v>
      </c>
      <c r="I15" s="21"/>
      <c r="J15" s="57"/>
      <c r="K15" s="57"/>
      <c r="L15" s="57"/>
      <c r="M15" s="57"/>
      <c r="N15" s="57"/>
      <c r="O15" s="136" t="s">
        <v>185</v>
      </c>
      <c r="P15" s="171">
        <f>T21</f>
        <v>90.38106704057935</v>
      </c>
      <c r="Q15" s="71"/>
      <c r="R15" s="197"/>
      <c r="S15" s="177" t="s">
        <v>186</v>
      </c>
      <c r="T15" s="97">
        <f>V137</f>
        <v>-3.0087719298245617</v>
      </c>
      <c r="U15" s="72" t="s">
        <v>187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5.75" customHeight="1">
      <c r="A16" s="57"/>
      <c r="B16" s="30" t="s">
        <v>51</v>
      </c>
      <c r="C16" s="27" t="s">
        <v>52</v>
      </c>
      <c r="D16" s="27" t="s">
        <v>53</v>
      </c>
      <c r="E16" s="27" t="s">
        <v>54</v>
      </c>
      <c r="F16" s="27" t="s">
        <v>55</v>
      </c>
      <c r="G16" s="45" t="s">
        <v>56</v>
      </c>
      <c r="H16" s="31" t="s">
        <v>57</v>
      </c>
      <c r="I16" s="21"/>
      <c r="J16" s="85" t="s">
        <v>160</v>
      </c>
      <c r="K16" s="59"/>
      <c r="L16" s="59"/>
      <c r="M16" s="154">
        <f>Dateneingabe!C31</f>
        <v>1.98</v>
      </c>
      <c r="N16" s="57"/>
      <c r="O16" s="136" t="s">
        <v>151</v>
      </c>
      <c r="P16" s="196">
        <f>P13/M4</f>
        <v>0.12029702970297038</v>
      </c>
      <c r="Q16" s="71"/>
      <c r="R16" s="197"/>
      <c r="S16" s="177" t="s">
        <v>164</v>
      </c>
      <c r="T16" s="97">
        <f>K21</f>
        <v>25</v>
      </c>
      <c r="U16" s="72" t="s">
        <v>187</v>
      </c>
      <c r="V16" s="209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ht="15.75" customHeight="1">
      <c r="A17" s="57"/>
      <c r="B17" s="47" t="s">
        <v>58</v>
      </c>
      <c r="C17" s="33">
        <v>50</v>
      </c>
      <c r="D17" s="33">
        <v>52.5</v>
      </c>
      <c r="E17" s="33">
        <f>C17/F8</f>
        <v>43.47826086956522</v>
      </c>
      <c r="F17" s="33">
        <f>D17/F8</f>
        <v>45.652173913043484</v>
      </c>
      <c r="G17" s="89">
        <f>C17/G13</f>
        <v>0.0025</v>
      </c>
      <c r="H17" s="48">
        <f>E17/G13</f>
        <v>0.002173913043478261</v>
      </c>
      <c r="I17" s="21"/>
      <c r="J17" s="149"/>
      <c r="K17" s="61"/>
      <c r="L17" s="61"/>
      <c r="M17" s="150"/>
      <c r="N17" s="57"/>
      <c r="O17" s="136" t="s">
        <v>152</v>
      </c>
      <c r="P17" s="196">
        <f>S21</f>
        <v>0.9513796530587301</v>
      </c>
      <c r="Q17" s="64" t="s">
        <v>124</v>
      </c>
      <c r="R17" s="97">
        <f>Dateneingabe!J28</f>
        <v>0.45</v>
      </c>
      <c r="S17" s="187"/>
      <c r="T17" s="5"/>
      <c r="U17" s="72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5.75" customHeight="1" thickBot="1">
      <c r="A18" s="57"/>
      <c r="B18" s="49" t="s">
        <v>60</v>
      </c>
      <c r="C18" s="36">
        <v>50</v>
      </c>
      <c r="D18" s="36">
        <v>52.5</v>
      </c>
      <c r="E18" s="36">
        <f>C18/F8</f>
        <v>43.47826086956522</v>
      </c>
      <c r="F18" s="36">
        <f>D18/F8</f>
        <v>45.652173913043484</v>
      </c>
      <c r="G18" s="90">
        <f>C18/G13</f>
        <v>0.0025</v>
      </c>
      <c r="H18" s="50">
        <f>E18/G13</f>
        <v>0.002173913043478261</v>
      </c>
      <c r="I18" s="21"/>
      <c r="J18" s="151"/>
      <c r="K18" s="152"/>
      <c r="L18" s="152"/>
      <c r="M18" s="153"/>
      <c r="N18" s="57"/>
      <c r="O18" s="192" t="s">
        <v>162</v>
      </c>
      <c r="P18" s="193">
        <f>P14/P13</f>
        <v>0.40416913918257313</v>
      </c>
      <c r="Q18" s="194" t="s">
        <v>180</v>
      </c>
      <c r="R18" s="139">
        <f>Q21</f>
        <v>-683.6802697725087</v>
      </c>
      <c r="S18" s="195" t="s">
        <v>140</v>
      </c>
      <c r="T18" s="198">
        <f>L21</f>
        <v>-3.418683173888579</v>
      </c>
      <c r="U18" s="66" t="s">
        <v>187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ht="15.75" customHeight="1" thickBot="1">
      <c r="A19" s="57"/>
      <c r="B19" s="57"/>
      <c r="C19" s="21"/>
      <c r="D19" s="57"/>
      <c r="E19" s="57"/>
      <c r="F19" s="57"/>
      <c r="G19" s="57"/>
      <c r="H19" s="21"/>
      <c r="I19" s="57"/>
      <c r="J19" s="57"/>
      <c r="K19" s="57"/>
      <c r="L19" s="57"/>
      <c r="M19" s="57"/>
      <c r="N19" s="57"/>
      <c r="O19" s="57"/>
      <c r="P19" s="57"/>
      <c r="Q19" s="21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5.75" customHeight="1">
      <c r="A20" s="57"/>
      <c r="B20" s="22">
        <v>3</v>
      </c>
      <c r="C20" s="73" t="s">
        <v>61</v>
      </c>
      <c r="D20" s="73"/>
      <c r="E20" s="73"/>
      <c r="F20" s="73"/>
      <c r="G20" s="24" t="str">
        <f>INDEX(B24:B38,$B$20)</f>
        <v>C 20/25</v>
      </c>
      <c r="H20" s="41">
        <v>0.85</v>
      </c>
      <c r="I20" s="57"/>
      <c r="J20" s="22">
        <f>Y21</f>
        <v>28</v>
      </c>
      <c r="K20" s="126" t="s">
        <v>139</v>
      </c>
      <c r="L20" s="12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94"/>
      <c r="Z20" s="250"/>
      <c r="AA20" s="61"/>
      <c r="AB20" s="57"/>
      <c r="AC20" s="57"/>
      <c r="AD20" s="57"/>
      <c r="AE20" s="57"/>
    </row>
    <row r="21" spans="1:31" ht="15.75" customHeight="1">
      <c r="A21" s="57"/>
      <c r="B21" s="51" t="s">
        <v>62</v>
      </c>
      <c r="C21" s="45" t="s">
        <v>63</v>
      </c>
      <c r="D21" s="45" t="s">
        <v>3</v>
      </c>
      <c r="E21" s="45" t="s">
        <v>64</v>
      </c>
      <c r="F21" s="45" t="s">
        <v>65</v>
      </c>
      <c r="G21" s="45" t="s">
        <v>66</v>
      </c>
      <c r="H21" s="75"/>
      <c r="I21" s="57"/>
      <c r="J21" s="3">
        <f>H98/101</f>
        <v>0.004455445544554456</v>
      </c>
      <c r="K21" s="127">
        <f aca="true" t="shared" si="0" ref="K21:P21">INDEX(K23:K124,$Y$21)</f>
        <v>25</v>
      </c>
      <c r="L21" s="127">
        <f t="shared" si="0"/>
        <v>-3.418683173888579</v>
      </c>
      <c r="M21" s="7">
        <f t="shared" si="0"/>
        <v>11.428217821782185</v>
      </c>
      <c r="N21" s="7">
        <f t="shared" si="0"/>
        <v>6.685742574257425</v>
      </c>
      <c r="O21" s="7">
        <f t="shared" si="0"/>
        <v>4.7424752475247605</v>
      </c>
      <c r="P21" s="127">
        <f t="shared" si="0"/>
        <v>0.8090269395551853</v>
      </c>
      <c r="Q21" s="7">
        <f>-INDEX(Q23:Q124,$Y$21)</f>
        <v>-683.6802697725087</v>
      </c>
      <c r="R21" s="127">
        <f aca="true" t="shared" si="1" ref="R21:X21">INDEX(R23:R124,$Y$21)</f>
        <v>6.8092848623615385</v>
      </c>
      <c r="S21" s="127">
        <f t="shared" si="1"/>
        <v>0.9513796530587301</v>
      </c>
      <c r="T21" s="7">
        <f t="shared" si="1"/>
        <v>90.38106704057935</v>
      </c>
      <c r="U21" s="128">
        <f t="shared" si="1"/>
        <v>43.47826086956522</v>
      </c>
      <c r="V21" s="7">
        <f t="shared" si="1"/>
        <v>617.9175229663049</v>
      </c>
      <c r="W21" s="7">
        <f t="shared" si="1"/>
        <v>509.9352697725087</v>
      </c>
      <c r="X21" s="128">
        <f t="shared" si="1"/>
        <v>11.7285112047677</v>
      </c>
      <c r="Y21" s="293">
        <f>103-SUM(Y23:Y124)</f>
        <v>28</v>
      </c>
      <c r="Z21" s="137"/>
      <c r="AA21" s="61"/>
      <c r="AB21" s="57"/>
      <c r="AC21" s="57"/>
      <c r="AD21" s="57"/>
      <c r="AE21" s="57"/>
    </row>
    <row r="22" spans="1:31" ht="15.75" customHeight="1">
      <c r="A22" s="57"/>
      <c r="B22" s="63"/>
      <c r="C22" s="69">
        <f>INDEX(C24:C38,$B$20)</f>
        <v>20</v>
      </c>
      <c r="D22" s="34">
        <f>INDEX(D24:D38,$B$20)</f>
        <v>-2</v>
      </c>
      <c r="E22" s="34">
        <f>INDEX(E24:E38,$B$20)</f>
        <v>-3.5</v>
      </c>
      <c r="F22" s="34">
        <f>INDEX(F24:F38,$B$20)</f>
        <v>2</v>
      </c>
      <c r="G22" s="52">
        <f>INDEX(G24:G38,$B$20)</f>
        <v>1.1333333333333333</v>
      </c>
      <c r="H22" s="65"/>
      <c r="I22" s="57"/>
      <c r="J22" s="129" t="s">
        <v>5</v>
      </c>
      <c r="K22" s="122" t="s">
        <v>4</v>
      </c>
      <c r="L22" s="122" t="s">
        <v>3</v>
      </c>
      <c r="M22" s="122" t="s">
        <v>134</v>
      </c>
      <c r="N22" s="122" t="s">
        <v>142</v>
      </c>
      <c r="O22" s="122" t="s">
        <v>143</v>
      </c>
      <c r="P22" s="248" t="s">
        <v>6</v>
      </c>
      <c r="Q22" s="287" t="s">
        <v>297</v>
      </c>
      <c r="R22" s="248" t="s">
        <v>144</v>
      </c>
      <c r="S22" s="122" t="s">
        <v>7</v>
      </c>
      <c r="T22" s="122" t="s">
        <v>135</v>
      </c>
      <c r="U22" s="123" t="s">
        <v>145</v>
      </c>
      <c r="V22" s="122" t="s">
        <v>148</v>
      </c>
      <c r="W22" s="122" t="s">
        <v>136</v>
      </c>
      <c r="X22" s="122" t="s">
        <v>137</v>
      </c>
      <c r="Y22" s="122" t="s">
        <v>146</v>
      </c>
      <c r="Z22" s="295" t="s">
        <v>298</v>
      </c>
      <c r="AA22" s="61"/>
      <c r="AB22" s="57"/>
      <c r="AC22" s="57"/>
      <c r="AD22" s="57"/>
      <c r="AE22" s="57"/>
    </row>
    <row r="23" spans="1:31" ht="15.75" customHeight="1">
      <c r="A23" s="57"/>
      <c r="B23" s="51" t="s">
        <v>62</v>
      </c>
      <c r="C23" s="45" t="s">
        <v>63</v>
      </c>
      <c r="D23" s="45" t="s">
        <v>3</v>
      </c>
      <c r="E23" s="45" t="s">
        <v>64</v>
      </c>
      <c r="F23" s="45" t="s">
        <v>65</v>
      </c>
      <c r="G23" s="45" t="s">
        <v>66</v>
      </c>
      <c r="H23" s="75"/>
      <c r="I23" s="57"/>
      <c r="J23" s="130">
        <v>0</v>
      </c>
      <c r="K23" s="131">
        <f>IF(J23&lt;=(-$E$58/($H$13*1000-$E$58)),$H$13*1000,ABS(L23)*(1-J23)/J23)</f>
        <v>25</v>
      </c>
      <c r="L23" s="132">
        <f>IF(J23&lt;=(-$E$58/($H$13*1000-$E$58)),-$H$13*1000*J23/(1-J23),$E$58)</f>
        <v>0</v>
      </c>
      <c r="M23" s="6">
        <f>J23*$M$4</f>
        <v>0</v>
      </c>
      <c r="N23" s="6">
        <f>-$D$58/K23*($M$4-M23)</f>
        <v>7.6000000000000005</v>
      </c>
      <c r="O23" s="6">
        <f aca="true" t="shared" si="2" ref="O23:O86">IF(M23&gt;N23,M23-N23,0)</f>
        <v>0</v>
      </c>
      <c r="P23" s="261">
        <v>0</v>
      </c>
      <c r="Q23" s="262">
        <f>M23*P23*BOben*$G$58</f>
        <v>0</v>
      </c>
      <c r="R23" s="261">
        <v>0</v>
      </c>
      <c r="S23" s="132">
        <f>T23/$M$4</f>
        <v>1</v>
      </c>
      <c r="T23" s="141">
        <f>$M$4-M23+R23</f>
        <v>95</v>
      </c>
      <c r="U23" s="144">
        <f aca="true" t="shared" si="3" ref="U23:U83">IF(K23&lt;$H$15*1000,K23/$H$15/1000*$E$15,$E$15+($F$15-$E$15)/($H$13-$H$15)*(K23/1000-$H$15))</f>
        <v>43.47826086956522</v>
      </c>
      <c r="V23" s="6">
        <f aca="true" t="shared" si="4" ref="V23:V84">Q23*T23/100</f>
        <v>0</v>
      </c>
      <c r="W23" s="6">
        <f>$K$10+Q23</f>
        <v>-173.745</v>
      </c>
      <c r="X23" s="6">
        <f>W23/U23</f>
        <v>-3.9961349999999998</v>
      </c>
      <c r="Y23" s="293">
        <f aca="true" t="shared" si="5" ref="Y23:Y76">IF(V23-$K$12&gt;0,1,0)</f>
        <v>0</v>
      </c>
      <c r="Z23" s="299">
        <v>0</v>
      </c>
      <c r="AA23" s="61"/>
      <c r="AB23" s="57"/>
      <c r="AC23" s="57"/>
      <c r="AD23" s="57"/>
      <c r="AE23" s="57"/>
    </row>
    <row r="24" spans="1:31" ht="15.75" customHeight="1">
      <c r="A24" s="57"/>
      <c r="B24" s="28" t="s">
        <v>67</v>
      </c>
      <c r="C24" s="5">
        <v>12</v>
      </c>
      <c r="D24" s="76">
        <v>-2</v>
      </c>
      <c r="E24" s="76">
        <v>-3.5</v>
      </c>
      <c r="F24" s="77">
        <v>2</v>
      </c>
      <c r="G24" s="29">
        <f aca="true" t="shared" si="6" ref="G24:G38">C24/10/$E$8*$H$20</f>
        <v>0.6799999999999999</v>
      </c>
      <c r="H24" s="72"/>
      <c r="I24" s="57"/>
      <c r="J24" s="130">
        <f>J23+$J$21</f>
        <v>0.004455445544554456</v>
      </c>
      <c r="K24" s="131">
        <f aca="true" t="shared" si="7" ref="K24:K87">IF(J24&lt;=(-$E$58/($H$13*1000-$E$58)),$H$13*1000,ABS(L24)*(1-J24)/J24)</f>
        <v>25</v>
      </c>
      <c r="L24" s="132">
        <f aca="true" t="shared" si="8" ref="L24:L87">IF(J24&lt;=(-$E$58/($H$13*1000-$E$58)),-$H$13*1000*J24/(1-J24),$E$58)</f>
        <v>-0.11188463451019395</v>
      </c>
      <c r="M24" s="6">
        <f aca="true" t="shared" si="9" ref="M24:M87">J24*$M$4</f>
        <v>0.4232673267326733</v>
      </c>
      <c r="N24" s="6">
        <f aca="true" t="shared" si="10" ref="N24:N87">-$D$58/K24*($M$4-M24)</f>
        <v>7.566138613861386</v>
      </c>
      <c r="O24" s="6">
        <f t="shared" si="2"/>
        <v>0</v>
      </c>
      <c r="P24" s="263">
        <v>0.05466854810423084</v>
      </c>
      <c r="Q24" s="262">
        <v>1.8487864266436884</v>
      </c>
      <c r="R24" s="263">
        <v>0.20972148146046565</v>
      </c>
      <c r="S24" s="132">
        <f aca="true" t="shared" si="11" ref="S24:S87">T24/$M$4</f>
        <v>0.9977521489971346</v>
      </c>
      <c r="T24" s="141">
        <f>$M$4-M24+R24</f>
        <v>94.78645415472779</v>
      </c>
      <c r="U24" s="144">
        <f t="shared" si="3"/>
        <v>43.47826086956522</v>
      </c>
      <c r="V24" s="6">
        <f t="shared" si="4"/>
        <v>1.7523990987094498</v>
      </c>
      <c r="W24" s="6">
        <f aca="true" t="shared" si="12" ref="W24:W87">$K$10+Q24</f>
        <v>-171.8962135733563</v>
      </c>
      <c r="X24" s="6">
        <f aca="true" t="shared" si="13" ref="X24:X87">W24/U24</f>
        <v>-3.953612912187195</v>
      </c>
      <c r="Y24" s="293">
        <f t="shared" si="5"/>
        <v>0</v>
      </c>
      <c r="Z24" s="296">
        <f aca="true" t="shared" si="14" ref="Z24:Z87">-(R24-M24)/M24</f>
        <v>0.5045176695319993</v>
      </c>
      <c r="AA24" s="61"/>
      <c r="AB24" s="57"/>
      <c r="AC24" s="57"/>
      <c r="AD24" s="57"/>
      <c r="AE24" s="57"/>
    </row>
    <row r="25" spans="1:31" ht="15.75" customHeight="1">
      <c r="A25" s="57"/>
      <c r="B25" s="53" t="s">
        <v>68</v>
      </c>
      <c r="C25" s="5">
        <v>16</v>
      </c>
      <c r="D25" s="76">
        <v>-2</v>
      </c>
      <c r="E25" s="76">
        <v>-3.5</v>
      </c>
      <c r="F25" s="77">
        <v>2</v>
      </c>
      <c r="G25" s="29">
        <f t="shared" si="6"/>
        <v>0.9066666666666666</v>
      </c>
      <c r="H25" s="72"/>
      <c r="I25" s="57"/>
      <c r="J25" s="130">
        <f aca="true" t="shared" si="15" ref="J25:J88">J24+$J$21</f>
        <v>0.008910891089108912</v>
      </c>
      <c r="K25" s="131">
        <f t="shared" si="7"/>
        <v>25</v>
      </c>
      <c r="L25" s="132">
        <f t="shared" si="8"/>
        <v>-0.2247752247752248</v>
      </c>
      <c r="M25" s="6">
        <f t="shared" si="9"/>
        <v>0.8465346534653466</v>
      </c>
      <c r="N25" s="6">
        <f t="shared" si="10"/>
        <v>7.532277227722773</v>
      </c>
      <c r="O25" s="6">
        <f t="shared" si="2"/>
        <v>0</v>
      </c>
      <c r="P25" s="263">
        <v>0.10756888467976972</v>
      </c>
      <c r="Q25" s="262">
        <v>7.2547037481269</v>
      </c>
      <c r="R25" s="263">
        <v>0.5263542366207178</v>
      </c>
      <c r="S25" s="132">
        <f t="shared" si="11"/>
        <v>0.9966296798226882</v>
      </c>
      <c r="T25" s="141">
        <f>$M$4-M25+R25</f>
        <v>94.67981958315538</v>
      </c>
      <c r="U25" s="144">
        <f t="shared" si="3"/>
        <v>43.47826086956522</v>
      </c>
      <c r="V25" s="6">
        <f t="shared" si="4"/>
        <v>6.86874042001896</v>
      </c>
      <c r="W25" s="6">
        <f t="shared" si="12"/>
        <v>-166.4902962518731</v>
      </c>
      <c r="X25" s="6">
        <f t="shared" si="13"/>
        <v>-3.8292768137930815</v>
      </c>
      <c r="Y25" s="293">
        <f t="shared" si="5"/>
        <v>0</v>
      </c>
      <c r="Z25" s="296">
        <f t="shared" si="14"/>
        <v>0.37822481989833345</v>
      </c>
      <c r="AA25" s="61"/>
      <c r="AB25" s="57"/>
      <c r="AC25" s="57"/>
      <c r="AD25" s="57"/>
      <c r="AE25" s="57"/>
    </row>
    <row r="26" spans="1:31" ht="15.75" customHeight="1">
      <c r="A26" s="57"/>
      <c r="B26" s="28" t="s">
        <v>69</v>
      </c>
      <c r="C26" s="5">
        <v>20</v>
      </c>
      <c r="D26" s="76">
        <v>-2</v>
      </c>
      <c r="E26" s="76">
        <v>-3.5</v>
      </c>
      <c r="F26" s="77">
        <v>2</v>
      </c>
      <c r="G26" s="29">
        <f t="shared" si="6"/>
        <v>1.1333333333333333</v>
      </c>
      <c r="H26" s="72"/>
      <c r="I26" s="57"/>
      <c r="J26" s="130">
        <f t="shared" si="15"/>
        <v>0.013366336633663368</v>
      </c>
      <c r="K26" s="131">
        <f t="shared" si="7"/>
        <v>25</v>
      </c>
      <c r="L26" s="132">
        <f t="shared" si="8"/>
        <v>-0.3386853988961365</v>
      </c>
      <c r="M26" s="6">
        <f t="shared" si="9"/>
        <v>1.26980198019802</v>
      </c>
      <c r="N26" s="6">
        <f t="shared" si="10"/>
        <v>7.498415841584158</v>
      </c>
      <c r="O26" s="6">
        <f t="shared" si="2"/>
        <v>0</v>
      </c>
      <c r="P26" s="263">
        <v>0.15890736914384887</v>
      </c>
      <c r="Q26" s="262">
        <v>16.02944715691055</v>
      </c>
      <c r="R26" s="263">
        <v>0.8177376084539836</v>
      </c>
      <c r="S26" s="132">
        <f t="shared" si="11"/>
        <v>0.9952414276658522</v>
      </c>
      <c r="T26" s="141">
        <f>$M$4-M26+R26</f>
        <v>94.54793562825596</v>
      </c>
      <c r="U26" s="144">
        <f t="shared" si="3"/>
        <v>43.47826086956522</v>
      </c>
      <c r="V26" s="6">
        <f t="shared" si="4"/>
        <v>15.15551137948109</v>
      </c>
      <c r="W26" s="6">
        <f t="shared" si="12"/>
        <v>-157.71555284308945</v>
      </c>
      <c r="X26" s="6">
        <f t="shared" si="13"/>
        <v>-3.627457715391057</v>
      </c>
      <c r="Y26" s="293">
        <f t="shared" si="5"/>
        <v>0</v>
      </c>
      <c r="Z26" s="296">
        <f t="shared" si="14"/>
        <v>0.3560117079621651</v>
      </c>
      <c r="AA26" s="61"/>
      <c r="AB26" s="57"/>
      <c r="AC26" s="57"/>
      <c r="AD26" s="57"/>
      <c r="AE26" s="57"/>
    </row>
    <row r="27" spans="1:31" ht="15.75" customHeight="1">
      <c r="A27" s="57"/>
      <c r="B27" s="28" t="s">
        <v>70</v>
      </c>
      <c r="C27" s="5">
        <v>25</v>
      </c>
      <c r="D27" s="76">
        <v>-2</v>
      </c>
      <c r="E27" s="76">
        <v>-3.5</v>
      </c>
      <c r="F27" s="77">
        <v>2</v>
      </c>
      <c r="G27" s="29">
        <f t="shared" si="6"/>
        <v>1.4166666666666667</v>
      </c>
      <c r="H27" s="72"/>
      <c r="I27" s="57"/>
      <c r="J27" s="130">
        <f t="shared" si="15"/>
        <v>0.017821782178217824</v>
      </c>
      <c r="K27" s="131">
        <f t="shared" si="7"/>
        <v>25</v>
      </c>
      <c r="L27" s="132">
        <f t="shared" si="8"/>
        <v>-0.4536290322580646</v>
      </c>
      <c r="M27" s="6">
        <f t="shared" si="9"/>
        <v>1.6930693069306932</v>
      </c>
      <c r="N27" s="6">
        <f t="shared" si="10"/>
        <v>7.464554455445544</v>
      </c>
      <c r="O27" s="6">
        <f t="shared" si="2"/>
        <v>0</v>
      </c>
      <c r="P27" s="263">
        <v>0.2086248624027288</v>
      </c>
      <c r="Q27" s="262">
        <v>27.97859684688499</v>
      </c>
      <c r="R27" s="263">
        <v>1.1017531955293598</v>
      </c>
      <c r="S27" s="132">
        <f t="shared" si="11"/>
        <v>0.9937756198799859</v>
      </c>
      <c r="T27" s="141">
        <f aca="true" t="shared" si="16" ref="T27:T34">$M$4-M27+R27</f>
        <v>94.40868388859866</v>
      </c>
      <c r="U27" s="144">
        <f t="shared" si="3"/>
        <v>43.47826086956522</v>
      </c>
      <c r="V27" s="6">
        <f t="shared" si="4"/>
        <v>26.41422505364108</v>
      </c>
      <c r="W27" s="6">
        <f t="shared" si="12"/>
        <v>-145.76640315311502</v>
      </c>
      <c r="X27" s="6">
        <f t="shared" si="13"/>
        <v>-3.3526272725216453</v>
      </c>
      <c r="Y27" s="293">
        <f t="shared" si="5"/>
        <v>0</v>
      </c>
      <c r="Z27" s="296">
        <f t="shared" si="14"/>
        <v>0.3492568845118987</v>
      </c>
      <c r="AA27" s="61"/>
      <c r="AB27" s="57"/>
      <c r="AC27" s="57"/>
      <c r="AD27" s="57"/>
      <c r="AE27" s="57"/>
    </row>
    <row r="28" spans="1:31" ht="15.75" customHeight="1">
      <c r="A28" s="57"/>
      <c r="B28" s="28" t="s">
        <v>71</v>
      </c>
      <c r="C28" s="5">
        <v>30</v>
      </c>
      <c r="D28" s="76">
        <v>-2</v>
      </c>
      <c r="E28" s="76">
        <v>-3.5</v>
      </c>
      <c r="F28" s="77">
        <v>2</v>
      </c>
      <c r="G28" s="29">
        <f t="shared" si="6"/>
        <v>1.7</v>
      </c>
      <c r="H28" s="72"/>
      <c r="I28" s="57"/>
      <c r="J28" s="130">
        <f t="shared" si="15"/>
        <v>0.02227722772277228</v>
      </c>
      <c r="K28" s="131">
        <f t="shared" si="7"/>
        <v>25</v>
      </c>
      <c r="L28" s="132">
        <f t="shared" si="8"/>
        <v>-0.569620253164557</v>
      </c>
      <c r="M28" s="6">
        <f t="shared" si="9"/>
        <v>2.1163366336633667</v>
      </c>
      <c r="N28" s="6">
        <f t="shared" si="10"/>
        <v>7.430693069306931</v>
      </c>
      <c r="O28" s="6">
        <f t="shared" si="2"/>
        <v>0</v>
      </c>
      <c r="P28" s="263">
        <v>0.25666033667863825</v>
      </c>
      <c r="Q28" s="262">
        <v>42.90141692667607</v>
      </c>
      <c r="R28" s="263">
        <v>1.381891579033522</v>
      </c>
      <c r="S28" s="132">
        <f t="shared" si="11"/>
        <v>0.992268999424949</v>
      </c>
      <c r="T28" s="141">
        <f t="shared" si="16"/>
        <v>94.26555494537016</v>
      </c>
      <c r="U28" s="144">
        <f t="shared" si="3"/>
        <v>43.47826086956522</v>
      </c>
      <c r="V28" s="6">
        <f t="shared" si="4"/>
        <v>40.44125874535816</v>
      </c>
      <c r="W28" s="6">
        <f t="shared" si="12"/>
        <v>-130.84358307332394</v>
      </c>
      <c r="X28" s="6">
        <f t="shared" si="13"/>
        <v>-3.0094024106864508</v>
      </c>
      <c r="Y28" s="293">
        <f t="shared" si="5"/>
        <v>0</v>
      </c>
      <c r="Z28" s="296">
        <f t="shared" si="14"/>
        <v>0.3470360258134002</v>
      </c>
      <c r="AA28" s="61"/>
      <c r="AB28" s="57"/>
      <c r="AC28" s="57"/>
      <c r="AD28" s="57"/>
      <c r="AE28" s="57"/>
    </row>
    <row r="29" spans="1:31" ht="15.75" customHeight="1">
      <c r="A29" s="57"/>
      <c r="B29" s="28" t="s">
        <v>72</v>
      </c>
      <c r="C29" s="5">
        <v>35</v>
      </c>
      <c r="D29" s="76">
        <v>-2</v>
      </c>
      <c r="E29" s="76">
        <v>-3.5</v>
      </c>
      <c r="F29" s="77">
        <v>2</v>
      </c>
      <c r="G29" s="29">
        <f t="shared" si="6"/>
        <v>1.9833333333333334</v>
      </c>
      <c r="H29" s="72"/>
      <c r="I29" s="57"/>
      <c r="J29" s="130">
        <f t="shared" si="15"/>
        <v>0.026732673267326736</v>
      </c>
      <c r="K29" s="131">
        <f t="shared" si="7"/>
        <v>25</v>
      </c>
      <c r="L29" s="132">
        <f t="shared" si="8"/>
        <v>-0.6866734486266531</v>
      </c>
      <c r="M29" s="6">
        <f t="shared" si="9"/>
        <v>2.53960396039604</v>
      </c>
      <c r="N29" s="6">
        <f t="shared" si="10"/>
        <v>7.396831683168317</v>
      </c>
      <c r="O29" s="6">
        <f t="shared" si="2"/>
        <v>0</v>
      </c>
      <c r="P29" s="263">
        <v>0.3029508119217996</v>
      </c>
      <c r="Q29" s="262">
        <v>60.590647105658995</v>
      </c>
      <c r="R29" s="263">
        <v>1.6592239216876443</v>
      </c>
      <c r="S29" s="132">
        <f t="shared" si="11"/>
        <v>0.9907328416978064</v>
      </c>
      <c r="T29" s="141">
        <f t="shared" si="16"/>
        <v>94.1196199612916</v>
      </c>
      <c r="U29" s="144">
        <f t="shared" si="3"/>
        <v>43.47826086956522</v>
      </c>
      <c r="V29" s="6">
        <f t="shared" si="4"/>
        <v>57.02768678793358</v>
      </c>
      <c r="W29" s="6">
        <f t="shared" si="12"/>
        <v>-113.154352894341</v>
      </c>
      <c r="X29" s="6">
        <f t="shared" si="13"/>
        <v>-2.602550116569843</v>
      </c>
      <c r="Y29" s="293">
        <f t="shared" si="5"/>
        <v>0</v>
      </c>
      <c r="Z29" s="296">
        <f t="shared" si="14"/>
        <v>0.34666036611909534</v>
      </c>
      <c r="AA29" s="61"/>
      <c r="AB29" s="57"/>
      <c r="AC29" s="57"/>
      <c r="AD29" s="57"/>
      <c r="AE29" s="57"/>
    </row>
    <row r="30" spans="1:31" ht="15.75" customHeight="1">
      <c r="A30" s="57"/>
      <c r="B30" s="28" t="s">
        <v>73</v>
      </c>
      <c r="C30" s="5">
        <v>40</v>
      </c>
      <c r="D30" s="76">
        <v>-2</v>
      </c>
      <c r="E30" s="76">
        <v>-3.5</v>
      </c>
      <c r="F30" s="77">
        <v>2</v>
      </c>
      <c r="G30" s="29">
        <f t="shared" si="6"/>
        <v>2.2666666666666666</v>
      </c>
      <c r="H30" s="72"/>
      <c r="I30" s="57"/>
      <c r="J30" s="130">
        <f t="shared" si="15"/>
        <v>0.03118811881188119</v>
      </c>
      <c r="K30" s="131">
        <f t="shared" si="7"/>
        <v>25</v>
      </c>
      <c r="L30" s="132">
        <f t="shared" si="8"/>
        <v>-0.8048032703117017</v>
      </c>
      <c r="M30" s="6">
        <f t="shared" si="9"/>
        <v>2.962871287128713</v>
      </c>
      <c r="N30" s="6">
        <f t="shared" si="10"/>
        <v>7.362970297029704</v>
      </c>
      <c r="O30" s="6">
        <f t="shared" si="2"/>
        <v>0</v>
      </c>
      <c r="P30" s="263">
        <v>0.34743128987322475</v>
      </c>
      <c r="Q30" s="262">
        <v>80.83228686490585</v>
      </c>
      <c r="R30" s="263">
        <v>1.9341175622829425</v>
      </c>
      <c r="S30" s="132">
        <f t="shared" si="11"/>
        <v>0.9891710134226762</v>
      </c>
      <c r="T30" s="141">
        <f t="shared" si="16"/>
        <v>93.97124627515424</v>
      </c>
      <c r="U30" s="144">
        <f t="shared" si="3"/>
        <v>43.47826086956522</v>
      </c>
      <c r="V30" s="6">
        <f t="shared" si="4"/>
        <v>75.95910735965984</v>
      </c>
      <c r="W30" s="6">
        <f t="shared" si="12"/>
        <v>-92.91271313509415</v>
      </c>
      <c r="X30" s="6">
        <f t="shared" si="13"/>
        <v>-2.1369924021071656</v>
      </c>
      <c r="Y30" s="293">
        <f t="shared" si="5"/>
        <v>0</v>
      </c>
      <c r="Z30" s="296">
        <f t="shared" si="14"/>
        <v>0.34721512517768693</v>
      </c>
      <c r="AA30" s="61"/>
      <c r="AB30" s="57"/>
      <c r="AC30" s="57"/>
      <c r="AD30" s="57"/>
      <c r="AE30" s="57"/>
    </row>
    <row r="31" spans="1:31" ht="15.75" customHeight="1">
      <c r="A31" s="57"/>
      <c r="B31" s="28" t="s">
        <v>74</v>
      </c>
      <c r="C31" s="5">
        <v>45</v>
      </c>
      <c r="D31" s="76">
        <v>-2</v>
      </c>
      <c r="E31" s="76">
        <v>-3.5</v>
      </c>
      <c r="F31" s="77">
        <v>2</v>
      </c>
      <c r="G31" s="29">
        <f t="shared" si="6"/>
        <v>2.55</v>
      </c>
      <c r="H31" s="72"/>
      <c r="I31" s="57"/>
      <c r="J31" s="130">
        <f t="shared" si="15"/>
        <v>0.03564356435643565</v>
      </c>
      <c r="K31" s="131">
        <f t="shared" si="7"/>
        <v>25</v>
      </c>
      <c r="L31" s="132">
        <f t="shared" si="8"/>
        <v>-0.9240246406570843</v>
      </c>
      <c r="M31" s="6">
        <f t="shared" si="9"/>
        <v>3.3861386138613865</v>
      </c>
      <c r="N31" s="6">
        <f t="shared" si="10"/>
        <v>7.3291089108910885</v>
      </c>
      <c r="O31" s="6">
        <f t="shared" si="2"/>
        <v>0</v>
      </c>
      <c r="P31" s="263">
        <v>0.39003468568237665</v>
      </c>
      <c r="Q31" s="262">
        <v>103.40537181261459</v>
      </c>
      <c r="R31" s="263">
        <v>2.2066639596633126</v>
      </c>
      <c r="S31" s="132">
        <f t="shared" si="11"/>
        <v>0.9875844773242308</v>
      </c>
      <c r="T31" s="141">
        <f t="shared" si="16"/>
        <v>93.82052534580193</v>
      </c>
      <c r="U31" s="144">
        <f t="shared" si="3"/>
        <v>43.47826086956522</v>
      </c>
      <c r="V31" s="6">
        <f t="shared" si="4"/>
        <v>97.01546307037479</v>
      </c>
      <c r="W31" s="6">
        <f t="shared" si="12"/>
        <v>-70.33962818738542</v>
      </c>
      <c r="X31" s="6">
        <f t="shared" si="13"/>
        <v>-1.6178114483098645</v>
      </c>
      <c r="Y31" s="293">
        <f t="shared" si="5"/>
        <v>0</v>
      </c>
      <c r="Z31" s="296">
        <f t="shared" si="14"/>
        <v>0.34832438618130246</v>
      </c>
      <c r="AA31" s="61"/>
      <c r="AB31" s="57"/>
      <c r="AC31" s="57"/>
      <c r="AD31" s="57"/>
      <c r="AE31" s="57"/>
    </row>
    <row r="32" spans="1:31" ht="15.75" customHeight="1">
      <c r="A32" s="57"/>
      <c r="B32" s="28" t="s">
        <v>75</v>
      </c>
      <c r="C32" s="5">
        <v>50</v>
      </c>
      <c r="D32" s="76">
        <v>-2</v>
      </c>
      <c r="E32" s="76">
        <v>-3.5</v>
      </c>
      <c r="F32" s="77">
        <v>2</v>
      </c>
      <c r="G32" s="29">
        <f t="shared" si="6"/>
        <v>2.8333333333333335</v>
      </c>
      <c r="H32" s="79"/>
      <c r="I32" s="57"/>
      <c r="J32" s="130">
        <f t="shared" si="15"/>
        <v>0.04009900990099011</v>
      </c>
      <c r="K32" s="131">
        <f t="shared" si="7"/>
        <v>25</v>
      </c>
      <c r="L32" s="132">
        <f t="shared" si="8"/>
        <v>-1.0443527591542034</v>
      </c>
      <c r="M32" s="6">
        <f t="shared" si="9"/>
        <v>3.8094059405940603</v>
      </c>
      <c r="N32" s="6">
        <f t="shared" si="10"/>
        <v>7.295247524752475</v>
      </c>
      <c r="O32" s="6">
        <f t="shared" si="2"/>
        <v>0</v>
      </c>
      <c r="P32" s="263">
        <v>0.4306917569794594</v>
      </c>
      <c r="Q32" s="262">
        <v>128.0817419102692</v>
      </c>
      <c r="R32" s="263">
        <v>2.476819642019676</v>
      </c>
      <c r="S32" s="132">
        <f t="shared" si="11"/>
        <v>0.9859727758044802</v>
      </c>
      <c r="T32" s="141">
        <f t="shared" si="16"/>
        <v>93.66741370142562</v>
      </c>
      <c r="U32" s="144">
        <f t="shared" si="3"/>
        <v>43.47826086956522</v>
      </c>
      <c r="V32" s="6">
        <f t="shared" si="4"/>
        <v>119.97085507108407</v>
      </c>
      <c r="W32" s="6">
        <f t="shared" si="12"/>
        <v>-45.66325808973082</v>
      </c>
      <c r="X32" s="6">
        <f t="shared" si="13"/>
        <v>-1.0502549360638087</v>
      </c>
      <c r="Y32" s="293">
        <f t="shared" si="5"/>
        <v>0</v>
      </c>
      <c r="Z32" s="296">
        <f t="shared" si="14"/>
        <v>0.3498147268512353</v>
      </c>
      <c r="AA32" s="61"/>
      <c r="AB32" s="57"/>
      <c r="AC32" s="57"/>
      <c r="AD32" s="57"/>
      <c r="AE32" s="57"/>
    </row>
    <row r="33" spans="1:31" ht="15.75" customHeight="1">
      <c r="A33" s="57"/>
      <c r="B33" s="80" t="s">
        <v>76</v>
      </c>
      <c r="C33" s="5">
        <v>55</v>
      </c>
      <c r="D33" s="76">
        <v>-2.2</v>
      </c>
      <c r="E33" s="76">
        <v>-3.1</v>
      </c>
      <c r="F33" s="77">
        <v>1.75</v>
      </c>
      <c r="G33" s="29">
        <f t="shared" si="6"/>
        <v>3.1166666666666663</v>
      </c>
      <c r="H33" s="79"/>
      <c r="I33" s="57"/>
      <c r="J33" s="130">
        <f t="shared" si="15"/>
        <v>0.044554455445544566</v>
      </c>
      <c r="K33" s="131">
        <f t="shared" si="7"/>
        <v>25</v>
      </c>
      <c r="L33" s="132">
        <f t="shared" si="8"/>
        <v>-1.1658031088082905</v>
      </c>
      <c r="M33" s="6">
        <f t="shared" si="9"/>
        <v>4.232673267326734</v>
      </c>
      <c r="N33" s="6">
        <f t="shared" si="10"/>
        <v>7.261386138613862</v>
      </c>
      <c r="O33" s="6">
        <f t="shared" si="2"/>
        <v>0</v>
      </c>
      <c r="P33" s="263">
        <v>0.46933103029752166</v>
      </c>
      <c r="Q33" s="262">
        <v>154.62580124182145</v>
      </c>
      <c r="R33" s="263">
        <v>2.7444606051581983</v>
      </c>
      <c r="S33" s="132">
        <f t="shared" si="11"/>
        <v>0.9843346035561207</v>
      </c>
      <c r="T33" s="141">
        <f t="shared" si="16"/>
        <v>93.51178733783146</v>
      </c>
      <c r="U33" s="144">
        <f t="shared" si="3"/>
        <v>43.47826086956522</v>
      </c>
      <c r="V33" s="6">
        <f t="shared" si="4"/>
        <v>144.59335042667004</v>
      </c>
      <c r="W33" s="6">
        <f t="shared" si="12"/>
        <v>-19.119198758178555</v>
      </c>
      <c r="X33" s="6">
        <f t="shared" si="13"/>
        <v>-0.43974157143810677</v>
      </c>
      <c r="Y33" s="293">
        <f t="shared" si="5"/>
        <v>0</v>
      </c>
      <c r="Z33" s="296">
        <f t="shared" si="14"/>
        <v>0.35160112018484696</v>
      </c>
      <c r="AA33" s="61"/>
      <c r="AB33" s="57"/>
      <c r="AC33" s="57"/>
      <c r="AD33" s="57"/>
      <c r="AE33" s="57"/>
    </row>
    <row r="34" spans="1:31" ht="15.75" customHeight="1">
      <c r="A34" s="57"/>
      <c r="B34" s="80" t="s">
        <v>77</v>
      </c>
      <c r="C34" s="5">
        <v>60</v>
      </c>
      <c r="D34" s="76">
        <v>-2.3</v>
      </c>
      <c r="E34" s="76">
        <v>-2.9</v>
      </c>
      <c r="F34" s="77">
        <v>1.6</v>
      </c>
      <c r="G34" s="29">
        <f t="shared" si="6"/>
        <v>3.4</v>
      </c>
      <c r="H34" s="79"/>
      <c r="I34" s="57"/>
      <c r="J34" s="130">
        <f t="shared" si="15"/>
        <v>0.049009900990099026</v>
      </c>
      <c r="K34" s="131">
        <f t="shared" si="7"/>
        <v>25</v>
      </c>
      <c r="L34" s="132">
        <f t="shared" si="8"/>
        <v>-1.2883914627798028</v>
      </c>
      <c r="M34" s="6">
        <f t="shared" si="9"/>
        <v>4.655940594059407</v>
      </c>
      <c r="N34" s="6">
        <f t="shared" si="10"/>
        <v>7.227524752475248</v>
      </c>
      <c r="O34" s="6">
        <f t="shared" si="2"/>
        <v>0</v>
      </c>
      <c r="P34" s="263">
        <v>0.5058787247349036</v>
      </c>
      <c r="Q34" s="262">
        <v>182.79426898358247</v>
      </c>
      <c r="R34" s="263">
        <v>3.0094048076918503</v>
      </c>
      <c r="S34" s="132">
        <f t="shared" si="11"/>
        <v>0.9826680443540258</v>
      </c>
      <c r="T34" s="141">
        <f t="shared" si="16"/>
        <v>93.35346421363245</v>
      </c>
      <c r="U34" s="144">
        <f t="shared" si="3"/>
        <v>43.47826086956522</v>
      </c>
      <c r="V34" s="6">
        <f t="shared" si="4"/>
        <v>170.6447824801597</v>
      </c>
      <c r="W34" s="6">
        <f t="shared" si="12"/>
        <v>9.049268983582465</v>
      </c>
      <c r="X34" s="6">
        <f t="shared" si="13"/>
        <v>0.2081331866223967</v>
      </c>
      <c r="Y34" s="293">
        <f t="shared" si="5"/>
        <v>0</v>
      </c>
      <c r="Z34" s="296">
        <f t="shared" si="14"/>
        <v>0.3536419232814954</v>
      </c>
      <c r="AA34" s="61"/>
      <c r="AB34" s="57"/>
      <c r="AC34" s="57"/>
      <c r="AD34" s="57"/>
      <c r="AE34" s="57"/>
    </row>
    <row r="35" spans="1:31" ht="15.75" customHeight="1">
      <c r="A35" s="57"/>
      <c r="B35" s="80" t="s">
        <v>78</v>
      </c>
      <c r="C35" s="5">
        <v>70</v>
      </c>
      <c r="D35" s="76">
        <v>-2.4</v>
      </c>
      <c r="E35" s="76">
        <v>-2.7</v>
      </c>
      <c r="F35" s="77">
        <v>1.45</v>
      </c>
      <c r="G35" s="29">
        <f t="shared" si="6"/>
        <v>3.966666666666667</v>
      </c>
      <c r="H35" s="79"/>
      <c r="I35" s="57" t="s">
        <v>79</v>
      </c>
      <c r="J35" s="130">
        <f t="shared" si="15"/>
        <v>0.053465346534653485</v>
      </c>
      <c r="K35" s="131">
        <f t="shared" si="7"/>
        <v>25</v>
      </c>
      <c r="L35" s="132">
        <f t="shared" si="8"/>
        <v>-1.4121338912133898</v>
      </c>
      <c r="M35" s="6">
        <f t="shared" si="9"/>
        <v>5.079207920792081</v>
      </c>
      <c r="N35" s="6">
        <f t="shared" si="10"/>
        <v>7.193663366336633</v>
      </c>
      <c r="O35" s="6">
        <f t="shared" si="2"/>
        <v>0</v>
      </c>
      <c r="P35" s="263">
        <v>0.540258672743432</v>
      </c>
      <c r="Q35" s="262">
        <v>212.33592121712914</v>
      </c>
      <c r="R35" s="263">
        <v>3.2714208966194906</v>
      </c>
      <c r="S35" s="132">
        <f t="shared" si="11"/>
        <v>0.9809706629034464</v>
      </c>
      <c r="T35" s="141">
        <f aca="true" t="shared" si="17" ref="T35:T48">$M$4-M35+R35</f>
        <v>93.1922129758274</v>
      </c>
      <c r="U35" s="144">
        <f t="shared" si="3"/>
        <v>43.47826086956522</v>
      </c>
      <c r="V35" s="6">
        <f t="shared" si="4"/>
        <v>197.88054392485208</v>
      </c>
      <c r="W35" s="6">
        <f t="shared" si="12"/>
        <v>38.590921217129136</v>
      </c>
      <c r="X35" s="6">
        <f t="shared" si="13"/>
        <v>0.8875911879939701</v>
      </c>
      <c r="Y35" s="293">
        <f t="shared" si="5"/>
        <v>0</v>
      </c>
      <c r="Z35" s="296">
        <f t="shared" si="14"/>
        <v>0.3559190827318354</v>
      </c>
      <c r="AA35" s="61"/>
      <c r="AB35" s="57"/>
      <c r="AC35" s="57"/>
      <c r="AD35" s="57"/>
      <c r="AE35" s="57"/>
    </row>
    <row r="36" spans="1:31" ht="15.75" customHeight="1">
      <c r="A36" s="57"/>
      <c r="B36" s="80" t="s">
        <v>80</v>
      </c>
      <c r="C36" s="5">
        <v>80</v>
      </c>
      <c r="D36" s="76">
        <v>-2.5</v>
      </c>
      <c r="E36" s="76">
        <v>-2.6</v>
      </c>
      <c r="F36" s="77">
        <v>1.4</v>
      </c>
      <c r="G36" s="29">
        <f t="shared" si="6"/>
        <v>4.533333333333333</v>
      </c>
      <c r="H36" s="79"/>
      <c r="I36" s="57"/>
      <c r="J36" s="130">
        <f t="shared" si="15"/>
        <v>0.057920792079207944</v>
      </c>
      <c r="K36" s="131">
        <f t="shared" si="7"/>
        <v>25</v>
      </c>
      <c r="L36" s="132">
        <f t="shared" si="8"/>
        <v>-1.537046768260642</v>
      </c>
      <c r="M36" s="6">
        <f t="shared" si="9"/>
        <v>5.502475247524755</v>
      </c>
      <c r="N36" s="6">
        <f t="shared" si="10"/>
        <v>7.1598019801980195</v>
      </c>
      <c r="O36" s="6">
        <f t="shared" si="2"/>
        <v>0</v>
      </c>
      <c r="P36" s="263">
        <v>0.5723922379226134</v>
      </c>
      <c r="Q36" s="262">
        <v>242.9913232114461</v>
      </c>
      <c r="R36" s="263">
        <v>3.5302300250839584</v>
      </c>
      <c r="S36" s="132">
        <f t="shared" si="11"/>
        <v>0.9792395239743074</v>
      </c>
      <c r="T36" s="141">
        <f t="shared" si="17"/>
        <v>93.0277547775592</v>
      </c>
      <c r="U36" s="144">
        <f t="shared" si="3"/>
        <v>43.47826086956522</v>
      </c>
      <c r="V36" s="6">
        <f t="shared" si="4"/>
        <v>226.04937228789032</v>
      </c>
      <c r="W36" s="6">
        <f t="shared" si="12"/>
        <v>69.24632321144608</v>
      </c>
      <c r="X36" s="6">
        <f t="shared" si="13"/>
        <v>1.5926654338632598</v>
      </c>
      <c r="Y36" s="293">
        <f t="shared" si="5"/>
        <v>0</v>
      </c>
      <c r="Z36" s="296">
        <f t="shared" si="14"/>
        <v>0.3584287313837523</v>
      </c>
      <c r="AA36" s="61"/>
      <c r="AB36" s="57"/>
      <c r="AC36" s="57"/>
      <c r="AD36" s="57"/>
      <c r="AE36" s="57"/>
    </row>
    <row r="37" spans="1:31" ht="15.75" customHeight="1">
      <c r="A37" s="57"/>
      <c r="B37" s="80" t="s">
        <v>81</v>
      </c>
      <c r="C37" s="5">
        <v>90</v>
      </c>
      <c r="D37" s="76">
        <v>-2.6</v>
      </c>
      <c r="E37" s="76">
        <v>-2.6</v>
      </c>
      <c r="F37" s="77">
        <v>1.4</v>
      </c>
      <c r="G37" s="29">
        <f t="shared" si="6"/>
        <v>5.1</v>
      </c>
      <c r="H37" s="79"/>
      <c r="I37" s="57"/>
      <c r="J37" s="130">
        <f t="shared" si="15"/>
        <v>0.062376237623762404</v>
      </c>
      <c r="K37" s="131">
        <f t="shared" si="7"/>
        <v>25</v>
      </c>
      <c r="L37" s="132">
        <f t="shared" si="8"/>
        <v>-1.6631467793030632</v>
      </c>
      <c r="M37" s="6">
        <f t="shared" si="9"/>
        <v>5.925742574257429</v>
      </c>
      <c r="N37" s="6">
        <f t="shared" si="10"/>
        <v>7.125940594059406</v>
      </c>
      <c r="O37" s="6">
        <f t="shared" si="2"/>
        <v>0</v>
      </c>
      <c r="P37" s="263">
        <v>0.6021982296945422</v>
      </c>
      <c r="Q37" s="262">
        <v>274.4925517836149</v>
      </c>
      <c r="R37" s="263">
        <v>3.7855035620252426</v>
      </c>
      <c r="S37" s="132">
        <f t="shared" si="11"/>
        <v>0.9774711682922927</v>
      </c>
      <c r="T37" s="141">
        <f t="shared" si="17"/>
        <v>92.85976098776781</v>
      </c>
      <c r="U37" s="144">
        <f t="shared" si="3"/>
        <v>43.47826086956522</v>
      </c>
      <c r="V37" s="6">
        <f t="shared" si="4"/>
        <v>254.89312751548957</v>
      </c>
      <c r="W37" s="6">
        <f t="shared" si="12"/>
        <v>100.74755178361488</v>
      </c>
      <c r="X37" s="6">
        <f t="shared" si="13"/>
        <v>2.3171936910231423</v>
      </c>
      <c r="Y37" s="293">
        <f t="shared" si="5"/>
        <v>0</v>
      </c>
      <c r="Z37" s="296">
        <f t="shared" si="14"/>
        <v>0.3611765083299093</v>
      </c>
      <c r="AA37" s="61"/>
      <c r="AB37" s="57"/>
      <c r="AC37" s="57"/>
      <c r="AD37" s="57"/>
      <c r="AE37" s="57"/>
    </row>
    <row r="38" spans="1:31" ht="15.75" customHeight="1" thickBot="1">
      <c r="A38" s="57"/>
      <c r="B38" s="92" t="s">
        <v>82</v>
      </c>
      <c r="C38" s="82">
        <v>100</v>
      </c>
      <c r="D38" s="95">
        <v>-2.6</v>
      </c>
      <c r="E38" s="95">
        <v>-2.6001</v>
      </c>
      <c r="F38" s="96">
        <v>1.4</v>
      </c>
      <c r="G38" s="54">
        <f t="shared" si="6"/>
        <v>5.666666666666667</v>
      </c>
      <c r="H38" s="94"/>
      <c r="I38" s="57"/>
      <c r="J38" s="130">
        <f t="shared" si="15"/>
        <v>0.06683168316831686</v>
      </c>
      <c r="K38" s="131">
        <f t="shared" si="7"/>
        <v>25</v>
      </c>
      <c r="L38" s="132">
        <f t="shared" si="8"/>
        <v>-1.7904509283819638</v>
      </c>
      <c r="M38" s="6">
        <f t="shared" si="9"/>
        <v>6.349009900990102</v>
      </c>
      <c r="N38" s="6">
        <f t="shared" si="10"/>
        <v>7.092079207920793</v>
      </c>
      <c r="O38" s="6">
        <f t="shared" si="2"/>
        <v>0</v>
      </c>
      <c r="P38" s="263">
        <v>0.6295928147284057</v>
      </c>
      <c r="Q38" s="262">
        <v>306.56290732959206</v>
      </c>
      <c r="R38" s="263">
        <v>4.036857824643354</v>
      </c>
      <c r="S38" s="132">
        <f t="shared" si="11"/>
        <v>0.9756615570910868</v>
      </c>
      <c r="T38" s="141">
        <f t="shared" si="17"/>
        <v>92.68784792365325</v>
      </c>
      <c r="U38" s="144">
        <f t="shared" si="3"/>
        <v>43.47826086956522</v>
      </c>
      <c r="V38" s="6">
        <f t="shared" si="4"/>
        <v>284.1465613359823</v>
      </c>
      <c r="W38" s="6">
        <f t="shared" si="12"/>
        <v>132.81790732959206</v>
      </c>
      <c r="X38" s="6">
        <f t="shared" si="13"/>
        <v>3.054811868580617</v>
      </c>
      <c r="Y38" s="293">
        <f t="shared" si="5"/>
        <v>0</v>
      </c>
      <c r="Z38" s="296">
        <f t="shared" si="14"/>
        <v>0.36417521982225565</v>
      </c>
      <c r="AA38" s="61"/>
      <c r="AB38" s="57"/>
      <c r="AC38" s="57"/>
      <c r="AD38" s="57"/>
      <c r="AE38" s="57"/>
    </row>
    <row r="39" spans="1:31" ht="15.75" customHeight="1" thickBot="1">
      <c r="A39" s="57"/>
      <c r="B39" s="57"/>
      <c r="C39" s="57"/>
      <c r="D39" s="57"/>
      <c r="E39" s="57"/>
      <c r="F39" s="57"/>
      <c r="G39" s="57"/>
      <c r="H39" s="57"/>
      <c r="I39" s="57"/>
      <c r="J39" s="130">
        <f t="shared" si="15"/>
        <v>0.07128712871287132</v>
      </c>
      <c r="K39" s="131">
        <f t="shared" si="7"/>
        <v>25</v>
      </c>
      <c r="L39" s="132">
        <f t="shared" si="8"/>
        <v>-1.9189765458422186</v>
      </c>
      <c r="M39" s="6">
        <f t="shared" si="9"/>
        <v>6.772277227722776</v>
      </c>
      <c r="N39" s="6">
        <f t="shared" si="10"/>
        <v>7.058217821782177</v>
      </c>
      <c r="O39" s="6">
        <f t="shared" si="2"/>
        <v>0</v>
      </c>
      <c r="P39" s="263">
        <v>0.6544894249774571</v>
      </c>
      <c r="Q39" s="262">
        <v>338.9166150980065</v>
      </c>
      <c r="R39" s="263">
        <v>4.283846178529033</v>
      </c>
      <c r="S39" s="132">
        <f t="shared" si="11"/>
        <v>0.9738059889558552</v>
      </c>
      <c r="T39" s="141">
        <f t="shared" si="17"/>
        <v>92.51156895080625</v>
      </c>
      <c r="U39" s="144">
        <f t="shared" si="3"/>
        <v>43.47826086956522</v>
      </c>
      <c r="V39" s="6">
        <f t="shared" si="4"/>
        <v>313.5370780621309</v>
      </c>
      <c r="W39" s="6">
        <f t="shared" si="12"/>
        <v>165.1716150980065</v>
      </c>
      <c r="X39" s="6">
        <f t="shared" si="13"/>
        <v>3.7989471472541494</v>
      </c>
      <c r="Y39" s="293">
        <f t="shared" si="5"/>
        <v>0</v>
      </c>
      <c r="Z39" s="296">
        <f t="shared" si="14"/>
        <v>0.36744376603591794</v>
      </c>
      <c r="AA39" s="61"/>
      <c r="AB39" s="57"/>
      <c r="AC39" s="57"/>
      <c r="AD39" s="57"/>
      <c r="AE39" s="57"/>
    </row>
    <row r="40" spans="1:31" ht="15.75" customHeight="1">
      <c r="A40" s="57"/>
      <c r="B40" s="22">
        <v>3</v>
      </c>
      <c r="C40" s="73" t="s">
        <v>83</v>
      </c>
      <c r="D40" s="73"/>
      <c r="E40" s="73"/>
      <c r="F40" s="73"/>
      <c r="G40" s="24" t="str">
        <f>INDEX(B44:B54,$B$40)</f>
        <v>LC 20/22</v>
      </c>
      <c r="H40" s="55">
        <v>0.75</v>
      </c>
      <c r="I40" s="57"/>
      <c r="J40" s="130">
        <f t="shared" si="15"/>
        <v>0.07574257425742578</v>
      </c>
      <c r="K40" s="131">
        <f t="shared" si="7"/>
        <v>25</v>
      </c>
      <c r="L40" s="132">
        <f t="shared" si="8"/>
        <v>-2.0487412961971088</v>
      </c>
      <c r="M40" s="6">
        <f t="shared" si="9"/>
        <v>7.1955445544554495</v>
      </c>
      <c r="N40" s="6">
        <f t="shared" si="10"/>
        <v>7.024356435643564</v>
      </c>
      <c r="O40" s="6">
        <f t="shared" si="2"/>
        <v>0.17118811881188556</v>
      </c>
      <c r="P40" s="263">
        <v>0.6767986621848682</v>
      </c>
      <c r="Q40" s="262">
        <v>371.2585152603054</v>
      </c>
      <c r="R40" s="263">
        <v>4.525948407500433</v>
      </c>
      <c r="S40" s="132">
        <f t="shared" si="11"/>
        <v>0.9718989879267893</v>
      </c>
      <c r="T40" s="141">
        <f t="shared" si="17"/>
        <v>92.33040385304498</v>
      </c>
      <c r="U40" s="144">
        <f t="shared" si="3"/>
        <v>43.47826086956522</v>
      </c>
      <c r="V40" s="6">
        <f t="shared" si="4"/>
        <v>342.7844864786586</v>
      </c>
      <c r="W40" s="6">
        <f t="shared" si="12"/>
        <v>197.51351526030538</v>
      </c>
      <c r="X40" s="6">
        <f t="shared" si="13"/>
        <v>4.542810850987023</v>
      </c>
      <c r="Y40" s="293">
        <f t="shared" si="5"/>
        <v>0</v>
      </c>
      <c r="Z40" s="296">
        <f t="shared" si="14"/>
        <v>0.37100682606461166</v>
      </c>
      <c r="AA40" s="61"/>
      <c r="AB40" s="57"/>
      <c r="AC40" s="57"/>
      <c r="AD40" s="57"/>
      <c r="AE40" s="57"/>
    </row>
    <row r="41" spans="1:31" ht="15.75" customHeight="1">
      <c r="A41" s="57"/>
      <c r="B41" s="51" t="s">
        <v>62</v>
      </c>
      <c r="C41" s="45" t="s">
        <v>63</v>
      </c>
      <c r="D41" s="45" t="s">
        <v>3</v>
      </c>
      <c r="E41" s="45" t="s">
        <v>64</v>
      </c>
      <c r="F41" s="45" t="s">
        <v>65</v>
      </c>
      <c r="G41" s="45" t="s">
        <v>66</v>
      </c>
      <c r="H41" s="46" t="s">
        <v>84</v>
      </c>
      <c r="I41" s="57"/>
      <c r="J41" s="130">
        <f t="shared" si="15"/>
        <v>0.08019801980198024</v>
      </c>
      <c r="K41" s="131">
        <f t="shared" si="7"/>
        <v>25</v>
      </c>
      <c r="L41" s="132">
        <f t="shared" si="8"/>
        <v>-2.179763186221745</v>
      </c>
      <c r="M41" s="6">
        <f t="shared" si="9"/>
        <v>7.618811881188123</v>
      </c>
      <c r="N41" s="6">
        <f t="shared" si="10"/>
        <v>6.9904950495049505</v>
      </c>
      <c r="O41" s="6">
        <f t="shared" si="2"/>
        <v>0.6283168316831729</v>
      </c>
      <c r="P41" s="263">
        <v>0.6966337952058452</v>
      </c>
      <c r="Q41" s="262">
        <v>403.40279697854766</v>
      </c>
      <c r="R41" s="263">
        <v>4.7633368759259795</v>
      </c>
      <c r="S41" s="132">
        <f t="shared" si="11"/>
        <v>0.9699423683656616</v>
      </c>
      <c r="T41" s="141">
        <f t="shared" si="17"/>
        <v>92.14452499473785</v>
      </c>
      <c r="U41" s="144">
        <f t="shared" si="3"/>
        <v>43.47826086956522</v>
      </c>
      <c r="V41" s="6">
        <f t="shared" si="4"/>
        <v>371.71359109136944</v>
      </c>
      <c r="W41" s="6">
        <f t="shared" si="12"/>
        <v>229.65779697854765</v>
      </c>
      <c r="X41" s="6">
        <f t="shared" si="13"/>
        <v>5.282129330506596</v>
      </c>
      <c r="Y41" s="293">
        <f t="shared" si="5"/>
        <v>0</v>
      </c>
      <c r="Z41" s="296">
        <f t="shared" si="14"/>
        <v>0.37479269074915705</v>
      </c>
      <c r="AA41" s="61"/>
      <c r="AB41" s="57"/>
      <c r="AC41" s="57"/>
      <c r="AD41" s="57"/>
      <c r="AE41" s="57"/>
    </row>
    <row r="42" spans="1:31" ht="15.75" customHeight="1">
      <c r="A42" s="57"/>
      <c r="B42" s="63"/>
      <c r="C42" s="69">
        <f aca="true" t="shared" si="18" ref="C42:H42">INDEX(C44:C54,$B$40)</f>
        <v>20</v>
      </c>
      <c r="D42" s="97">
        <f t="shared" si="18"/>
        <v>-2</v>
      </c>
      <c r="E42" s="97">
        <f t="shared" si="18"/>
        <v>-2.640909090909091</v>
      </c>
      <c r="F42" s="34">
        <f t="shared" si="18"/>
        <v>2</v>
      </c>
      <c r="G42" s="52">
        <f t="shared" si="18"/>
        <v>1</v>
      </c>
      <c r="H42" s="87">
        <f t="shared" si="18"/>
        <v>1300</v>
      </c>
      <c r="I42" s="57"/>
      <c r="J42" s="130">
        <f t="shared" si="15"/>
        <v>0.0846534653465347</v>
      </c>
      <c r="K42" s="131">
        <f t="shared" si="7"/>
        <v>25</v>
      </c>
      <c r="L42" s="132">
        <f t="shared" si="8"/>
        <v>-2.312060573282857</v>
      </c>
      <c r="M42" s="6">
        <f t="shared" si="9"/>
        <v>8.042079207920796</v>
      </c>
      <c r="N42" s="6">
        <f t="shared" si="10"/>
        <v>6.956633663366337</v>
      </c>
      <c r="O42" s="6">
        <f t="shared" si="2"/>
        <v>1.0854455445544593</v>
      </c>
      <c r="P42" s="263">
        <v>0.7143798858109783</v>
      </c>
      <c r="Q42" s="262">
        <v>435.346031370742</v>
      </c>
      <c r="R42" s="263">
        <v>4.997179207444685</v>
      </c>
      <c r="S42" s="132">
        <f t="shared" si="11"/>
        <v>0.9679484210476199</v>
      </c>
      <c r="T42" s="141">
        <f t="shared" si="17"/>
        <v>91.9550999995239</v>
      </c>
      <c r="U42" s="144">
        <f t="shared" si="3"/>
        <v>43.47826086956522</v>
      </c>
      <c r="V42" s="6">
        <f t="shared" si="4"/>
        <v>400.3228784909245</v>
      </c>
      <c r="W42" s="6">
        <f t="shared" si="12"/>
        <v>261.601031370742</v>
      </c>
      <c r="X42" s="6">
        <f t="shared" si="13"/>
        <v>6.016823721527066</v>
      </c>
      <c r="Y42" s="293">
        <f t="shared" si="5"/>
        <v>0</v>
      </c>
      <c r="Z42" s="296">
        <f t="shared" si="14"/>
        <v>0.37862099113337905</v>
      </c>
      <c r="AA42" s="61"/>
      <c r="AB42" s="57"/>
      <c r="AC42" s="57"/>
      <c r="AD42" s="57"/>
      <c r="AE42" s="57"/>
    </row>
    <row r="43" spans="1:31" ht="15.75" customHeight="1">
      <c r="A43" s="57"/>
      <c r="B43" s="51" t="s">
        <v>62</v>
      </c>
      <c r="C43" s="45" t="s">
        <v>63</v>
      </c>
      <c r="D43" s="45" t="s">
        <v>3</v>
      </c>
      <c r="E43" s="45" t="s">
        <v>64</v>
      </c>
      <c r="F43" s="45" t="s">
        <v>65</v>
      </c>
      <c r="G43" s="45" t="s">
        <v>66</v>
      </c>
      <c r="H43" s="46" t="s">
        <v>84</v>
      </c>
      <c r="I43" s="57"/>
      <c r="J43" s="130">
        <f t="shared" si="15"/>
        <v>0.08910891089108916</v>
      </c>
      <c r="K43" s="131">
        <f t="shared" si="7"/>
        <v>25</v>
      </c>
      <c r="L43" s="132">
        <f t="shared" si="8"/>
        <v>-2.445652173913045</v>
      </c>
      <c r="M43" s="6">
        <f t="shared" si="9"/>
        <v>8.46534653465347</v>
      </c>
      <c r="N43" s="6">
        <f t="shared" si="10"/>
        <v>6.922772277227723</v>
      </c>
      <c r="O43" s="6">
        <f t="shared" si="2"/>
        <v>1.5425742574257475</v>
      </c>
      <c r="P43" s="263">
        <v>0.730351562746562</v>
      </c>
      <c r="Q43" s="262">
        <v>467.0890384389362</v>
      </c>
      <c r="R43" s="263">
        <v>5.228336355873424</v>
      </c>
      <c r="S43" s="132">
        <f t="shared" si="11"/>
        <v>0.9659262086444207</v>
      </c>
      <c r="T43" s="141">
        <f t="shared" si="17"/>
        <v>91.76298982121996</v>
      </c>
      <c r="U43" s="144">
        <f t="shared" si="3"/>
        <v>43.47826086956522</v>
      </c>
      <c r="V43" s="6">
        <f t="shared" si="4"/>
        <v>428.61486679875526</v>
      </c>
      <c r="W43" s="6">
        <f t="shared" si="12"/>
        <v>293.3440384389362</v>
      </c>
      <c r="X43" s="6">
        <f t="shared" si="13"/>
        <v>6.746912884095532</v>
      </c>
      <c r="Y43" s="293">
        <f t="shared" si="5"/>
        <v>0</v>
      </c>
      <c r="Z43" s="296">
        <f t="shared" si="14"/>
        <v>0.3823836585459468</v>
      </c>
      <c r="AA43" s="61"/>
      <c r="AB43" s="57"/>
      <c r="AC43" s="57"/>
      <c r="AD43" s="57"/>
      <c r="AE43" s="57"/>
    </row>
    <row r="44" spans="1:31" ht="15.75" customHeight="1">
      <c r="A44" s="57"/>
      <c r="B44" s="28" t="s">
        <v>85</v>
      </c>
      <c r="C44" s="5">
        <v>12</v>
      </c>
      <c r="D44" s="76">
        <v>-2</v>
      </c>
      <c r="E44" s="76">
        <f>-3.5*(0.4+0.6*H44/2200)</f>
        <v>-2.5454545454545454</v>
      </c>
      <c r="F44" s="77">
        <v>2</v>
      </c>
      <c r="G44" s="29">
        <f aca="true" t="shared" si="19" ref="G44:G54">C44/10/$E$8*$H$40</f>
        <v>0.6</v>
      </c>
      <c r="H44" s="79">
        <v>1200</v>
      </c>
      <c r="I44" s="57"/>
      <c r="J44" s="130">
        <f t="shared" si="15"/>
        <v>0.09356435643564362</v>
      </c>
      <c r="K44" s="131">
        <f t="shared" si="7"/>
        <v>25</v>
      </c>
      <c r="L44" s="132">
        <f t="shared" si="8"/>
        <v>-2.580557072637905</v>
      </c>
      <c r="M44" s="6">
        <f t="shared" si="9"/>
        <v>8.888613861386144</v>
      </c>
      <c r="N44" s="6">
        <f t="shared" si="10"/>
        <v>6.888910891089108</v>
      </c>
      <c r="O44" s="6">
        <f t="shared" si="2"/>
        <v>1.9997029702970357</v>
      </c>
      <c r="P44" s="263">
        <v>0.7448023676630744</v>
      </c>
      <c r="Q44" s="262">
        <v>498.6318531880471</v>
      </c>
      <c r="R44" s="263">
        <v>5.457438951527013</v>
      </c>
      <c r="S44" s="132">
        <f t="shared" si="11"/>
        <v>0.9638823693699038</v>
      </c>
      <c r="T44" s="141">
        <f t="shared" si="17"/>
        <v>91.56882509014086</v>
      </c>
      <c r="U44" s="144">
        <f t="shared" si="3"/>
        <v>43.47826086956522</v>
      </c>
      <c r="V44" s="6">
        <f t="shared" si="4"/>
        <v>456.5913294894908</v>
      </c>
      <c r="W44" s="6">
        <f t="shared" si="12"/>
        <v>324.8868531880471</v>
      </c>
      <c r="X44" s="6">
        <f t="shared" si="13"/>
        <v>7.472397623325083</v>
      </c>
      <c r="Y44" s="293">
        <f t="shared" si="5"/>
        <v>0</v>
      </c>
      <c r="Z44" s="296">
        <f t="shared" si="14"/>
        <v>0.38601912102007463</v>
      </c>
      <c r="AA44" s="61"/>
      <c r="AB44" s="57"/>
      <c r="AC44" s="57"/>
      <c r="AD44" s="57"/>
      <c r="AE44" s="57"/>
    </row>
    <row r="45" spans="1:31" ht="15.75" customHeight="1">
      <c r="A45" s="57"/>
      <c r="B45" s="53" t="s">
        <v>86</v>
      </c>
      <c r="C45" s="5">
        <v>16</v>
      </c>
      <c r="D45" s="76">
        <v>-2</v>
      </c>
      <c r="E45" s="76">
        <f aca="true" t="shared" si="20" ref="E45:E54">-3.5*(0.4+0.6*H45/2200)</f>
        <v>-2.5454545454545454</v>
      </c>
      <c r="F45" s="77">
        <v>2</v>
      </c>
      <c r="G45" s="29">
        <f t="shared" si="19"/>
        <v>0.8</v>
      </c>
      <c r="H45" s="79">
        <v>1200</v>
      </c>
      <c r="I45" s="57"/>
      <c r="J45" s="130">
        <f t="shared" si="15"/>
        <v>0.09801980198019808</v>
      </c>
      <c r="K45" s="131">
        <f t="shared" si="7"/>
        <v>25</v>
      </c>
      <c r="L45" s="132">
        <f t="shared" si="8"/>
        <v>-2.7167947310647658</v>
      </c>
      <c r="M45" s="6">
        <f t="shared" si="9"/>
        <v>9.311881188118818</v>
      </c>
      <c r="N45" s="6">
        <f t="shared" si="10"/>
        <v>6.855049504950495</v>
      </c>
      <c r="O45" s="6">
        <f t="shared" si="2"/>
        <v>2.456831683168323</v>
      </c>
      <c r="P45" s="263">
        <v>0.7579395832563598</v>
      </c>
      <c r="Q45" s="262">
        <v>529.9743979761777</v>
      </c>
      <c r="R45" s="263">
        <v>5.68496202852328</v>
      </c>
      <c r="S45" s="132">
        <f t="shared" si="11"/>
        <v>0.961821903583205</v>
      </c>
      <c r="T45" s="141">
        <f t="shared" si="17"/>
        <v>91.37308084040447</v>
      </c>
      <c r="U45" s="144">
        <f t="shared" si="3"/>
        <v>43.47826086956522</v>
      </c>
      <c r="V45" s="6">
        <f t="shared" si="4"/>
        <v>484.2539350962197</v>
      </c>
      <c r="W45" s="6">
        <f t="shared" si="12"/>
        <v>356.22939797617767</v>
      </c>
      <c r="X45" s="6">
        <f t="shared" si="13"/>
        <v>8.193276153452086</v>
      </c>
      <c r="Y45" s="293">
        <f t="shared" si="5"/>
        <v>0</v>
      </c>
      <c r="Z45" s="296">
        <f t="shared" si="14"/>
        <v>0.3894937109188188</v>
      </c>
      <c r="AA45" s="61"/>
      <c r="AB45" s="57"/>
      <c r="AC45" s="57"/>
      <c r="AD45" s="57"/>
      <c r="AE45" s="57"/>
    </row>
    <row r="46" spans="1:31" ht="15.75" customHeight="1">
      <c r="A46" s="57"/>
      <c r="B46" s="28" t="s">
        <v>87</v>
      </c>
      <c r="C46" s="5">
        <v>20</v>
      </c>
      <c r="D46" s="76">
        <v>-2</v>
      </c>
      <c r="E46" s="76">
        <f t="shared" si="20"/>
        <v>-2.640909090909091</v>
      </c>
      <c r="F46" s="77">
        <v>2</v>
      </c>
      <c r="G46" s="29">
        <f t="shared" si="19"/>
        <v>1</v>
      </c>
      <c r="H46" s="79">
        <v>1300</v>
      </c>
      <c r="I46" s="57"/>
      <c r="J46" s="130">
        <f t="shared" si="15"/>
        <v>0.10247524752475254</v>
      </c>
      <c r="K46" s="131">
        <f t="shared" si="7"/>
        <v>25</v>
      </c>
      <c r="L46" s="132">
        <f t="shared" si="8"/>
        <v>-2.8543849972421422</v>
      </c>
      <c r="M46" s="6">
        <f t="shared" si="9"/>
        <v>9.735148514851492</v>
      </c>
      <c r="N46" s="6">
        <f t="shared" si="10"/>
        <v>6.8211881188118815</v>
      </c>
      <c r="O46" s="6">
        <f t="shared" si="2"/>
        <v>2.9139603960396103</v>
      </c>
      <c r="P46" s="263">
        <v>0.7699344401354431</v>
      </c>
      <c r="Q46" s="262">
        <v>561.1165939606648</v>
      </c>
      <c r="R46" s="263">
        <v>5.911270893397965</v>
      </c>
      <c r="S46" s="132">
        <f t="shared" si="11"/>
        <v>0.9597486566162787</v>
      </c>
      <c r="T46" s="141">
        <f t="shared" si="17"/>
        <v>91.17612237854648</v>
      </c>
      <c r="U46" s="144">
        <f t="shared" si="3"/>
        <v>43.47826086956522</v>
      </c>
      <c r="V46" s="6">
        <f t="shared" si="4"/>
        <v>511.6043523959075</v>
      </c>
      <c r="W46" s="6">
        <f t="shared" si="12"/>
        <v>387.37159396066477</v>
      </c>
      <c r="X46" s="6">
        <f t="shared" si="13"/>
        <v>8.90954666109529</v>
      </c>
      <c r="Y46" s="293">
        <f t="shared" si="5"/>
        <v>0</v>
      </c>
      <c r="Z46" s="296">
        <f t="shared" si="14"/>
        <v>0.3927908871261692</v>
      </c>
      <c r="AA46" s="61"/>
      <c r="AB46" s="57"/>
      <c r="AC46" s="57"/>
      <c r="AD46" s="57"/>
      <c r="AE46" s="57"/>
    </row>
    <row r="47" spans="1:31" ht="15.75" customHeight="1">
      <c r="A47" s="57"/>
      <c r="B47" s="28" t="s">
        <v>88</v>
      </c>
      <c r="C47" s="5">
        <v>25</v>
      </c>
      <c r="D47" s="76">
        <v>-2</v>
      </c>
      <c r="E47" s="76">
        <f t="shared" si="20"/>
        <v>-2.640909090909091</v>
      </c>
      <c r="F47" s="77">
        <v>2</v>
      </c>
      <c r="G47" s="29">
        <f t="shared" si="19"/>
        <v>1.25</v>
      </c>
      <c r="H47" s="79">
        <v>1300</v>
      </c>
      <c r="I47" s="57"/>
      <c r="J47" s="130">
        <f t="shared" si="15"/>
        <v>0.106930693069307</v>
      </c>
      <c r="K47" s="131">
        <f t="shared" si="7"/>
        <v>25</v>
      </c>
      <c r="L47" s="132">
        <f t="shared" si="8"/>
        <v>-2.993348115299337</v>
      </c>
      <c r="M47" s="6">
        <f t="shared" si="9"/>
        <v>10.158415841584166</v>
      </c>
      <c r="N47" s="6">
        <f t="shared" si="10"/>
        <v>6.787326732673266</v>
      </c>
      <c r="O47" s="6">
        <f t="shared" si="2"/>
        <v>3.3710891089108994</v>
      </c>
      <c r="P47" s="263">
        <v>0.7809296276027613</v>
      </c>
      <c r="Q47" s="262">
        <v>592.0583610766719</v>
      </c>
      <c r="R47" s="263">
        <v>6.1366514054413965</v>
      </c>
      <c r="S47" s="132">
        <f t="shared" si="11"/>
        <v>0.9576656375142866</v>
      </c>
      <c r="T47" s="141">
        <f t="shared" si="17"/>
        <v>90.97823556385723</v>
      </c>
      <c r="U47" s="144">
        <f t="shared" si="3"/>
        <v>43.47826086956522</v>
      </c>
      <c r="V47" s="6">
        <f t="shared" si="4"/>
        <v>538.644250415847</v>
      </c>
      <c r="W47" s="6">
        <f t="shared" si="12"/>
        <v>418.31336107667187</v>
      </c>
      <c r="X47" s="6">
        <f t="shared" si="13"/>
        <v>9.621207304763452</v>
      </c>
      <c r="Y47" s="293">
        <f t="shared" si="5"/>
        <v>0</v>
      </c>
      <c r="Z47" s="296">
        <f t="shared" si="14"/>
        <v>0.3959046862089858</v>
      </c>
      <c r="AA47" s="61"/>
      <c r="AB47" s="57"/>
      <c r="AC47" s="57"/>
      <c r="AD47" s="57"/>
      <c r="AE47" s="57"/>
    </row>
    <row r="48" spans="1:31" ht="15.75" customHeight="1">
      <c r="A48" s="57"/>
      <c r="B48" s="28" t="s">
        <v>89</v>
      </c>
      <c r="C48" s="5">
        <v>30</v>
      </c>
      <c r="D48" s="76">
        <v>-2</v>
      </c>
      <c r="E48" s="76">
        <f t="shared" si="20"/>
        <v>-2.7363636363636363</v>
      </c>
      <c r="F48" s="77">
        <v>2</v>
      </c>
      <c r="G48" s="29">
        <f t="shared" si="19"/>
        <v>1.5</v>
      </c>
      <c r="H48" s="79">
        <v>1400</v>
      </c>
      <c r="I48" s="57"/>
      <c r="J48" s="130">
        <f t="shared" si="15"/>
        <v>0.11138613861386146</v>
      </c>
      <c r="K48" s="78">
        <f t="shared" si="7"/>
        <v>25</v>
      </c>
      <c r="L48" s="124">
        <f t="shared" si="8"/>
        <v>-3.133704735376047</v>
      </c>
      <c r="M48" s="6">
        <f t="shared" si="9"/>
        <v>10.581683168316838</v>
      </c>
      <c r="N48" s="6">
        <f t="shared" si="10"/>
        <v>6.753465346534653</v>
      </c>
      <c r="O48" s="6">
        <f t="shared" si="2"/>
        <v>3.828217821782185</v>
      </c>
      <c r="P48" s="263">
        <v>0.7910450018453912</v>
      </c>
      <c r="Q48" s="262">
        <v>622.7996180153995</v>
      </c>
      <c r="R48" s="263">
        <v>6.361330760576035</v>
      </c>
      <c r="S48" s="132">
        <f t="shared" si="11"/>
        <v>0.9555752378132547</v>
      </c>
      <c r="T48" s="141">
        <f t="shared" si="17"/>
        <v>90.7796475922592</v>
      </c>
      <c r="U48" s="144">
        <f t="shared" si="3"/>
        <v>43.47826086956522</v>
      </c>
      <c r="V48" s="6">
        <f>Q48*T48/100</f>
        <v>565.375298440316</v>
      </c>
      <c r="W48" s="6">
        <f t="shared" si="12"/>
        <v>449.05461801539946</v>
      </c>
      <c r="X48" s="6">
        <f t="shared" si="13"/>
        <v>10.328256214354187</v>
      </c>
      <c r="Y48" s="293">
        <f t="shared" si="5"/>
        <v>0</v>
      </c>
      <c r="Z48" s="296">
        <f t="shared" si="14"/>
        <v>0.3988356427432242</v>
      </c>
      <c r="AA48" s="61"/>
      <c r="AB48" s="57"/>
      <c r="AC48" s="57"/>
      <c r="AD48" s="57"/>
      <c r="AE48" s="57"/>
    </row>
    <row r="49" spans="1:31" ht="15.75" customHeight="1">
      <c r="A49" s="57"/>
      <c r="B49" s="28" t="s">
        <v>90</v>
      </c>
      <c r="C49" s="5">
        <v>35</v>
      </c>
      <c r="D49" s="76">
        <v>-2</v>
      </c>
      <c r="E49" s="76">
        <f t="shared" si="20"/>
        <v>-2.831818181818182</v>
      </c>
      <c r="F49" s="77">
        <v>2</v>
      </c>
      <c r="G49" s="29">
        <f t="shared" si="19"/>
        <v>1.75</v>
      </c>
      <c r="H49" s="79">
        <v>1500</v>
      </c>
      <c r="I49" s="57"/>
      <c r="J49" s="130">
        <f t="shared" si="15"/>
        <v>0.11584158415841592</v>
      </c>
      <c r="K49" s="131">
        <f t="shared" si="7"/>
        <v>25</v>
      </c>
      <c r="L49" s="132">
        <f t="shared" si="8"/>
        <v>-3.275475923852186</v>
      </c>
      <c r="M49" s="6">
        <f t="shared" si="9"/>
        <v>11.004950495049512</v>
      </c>
      <c r="N49" s="6">
        <f t="shared" si="10"/>
        <v>6.719603960396039</v>
      </c>
      <c r="O49" s="6">
        <f t="shared" si="2"/>
        <v>4.285346534653472</v>
      </c>
      <c r="P49" s="263">
        <v>0.800381976849647</v>
      </c>
      <c r="Q49" s="262">
        <v>653.3402822019001</v>
      </c>
      <c r="R49" s="263">
        <v>6.585492080967171</v>
      </c>
      <c r="S49" s="132">
        <f t="shared" si="11"/>
        <v>0.9534793851149227</v>
      </c>
      <c r="T49" s="141">
        <f aca="true" t="shared" si="21" ref="T49:T64">$M$4-M49+R49</f>
        <v>90.58054158591766</v>
      </c>
      <c r="U49" s="144">
        <f t="shared" si="3"/>
        <v>43.47826086956522</v>
      </c>
      <c r="V49" s="6">
        <f>Q49*T49/100</f>
        <v>591.7991660174439</v>
      </c>
      <c r="W49" s="6">
        <f t="shared" si="12"/>
        <v>479.5952822019001</v>
      </c>
      <c r="X49" s="6">
        <f t="shared" si="13"/>
        <v>11.030691490643703</v>
      </c>
      <c r="Y49" s="293">
        <f t="shared" si="5"/>
        <v>0</v>
      </c>
      <c r="Z49" s="296">
        <f t="shared" si="14"/>
        <v>0.40158821396519667</v>
      </c>
      <c r="AA49" s="61"/>
      <c r="AB49" s="57"/>
      <c r="AC49" s="57"/>
      <c r="AD49" s="57"/>
      <c r="AE49" s="57"/>
    </row>
    <row r="50" spans="1:31" ht="15.75" customHeight="1">
      <c r="A50" s="57"/>
      <c r="B50" s="28" t="s">
        <v>91</v>
      </c>
      <c r="C50" s="5">
        <v>40</v>
      </c>
      <c r="D50" s="76">
        <v>-2</v>
      </c>
      <c r="E50" s="76">
        <f t="shared" si="20"/>
        <v>-2.831818181818182</v>
      </c>
      <c r="F50" s="77">
        <v>2</v>
      </c>
      <c r="G50" s="29">
        <f t="shared" si="19"/>
        <v>2</v>
      </c>
      <c r="H50" s="79">
        <v>1500</v>
      </c>
      <c r="I50" s="57"/>
      <c r="J50" s="130">
        <f t="shared" si="15"/>
        <v>0.12029702970297038</v>
      </c>
      <c r="K50" s="131">
        <f t="shared" si="7"/>
        <v>25</v>
      </c>
      <c r="L50" s="132">
        <f t="shared" si="8"/>
        <v>-3.418683173888579</v>
      </c>
      <c r="M50" s="6">
        <f t="shared" si="9"/>
        <v>11.428217821782185</v>
      </c>
      <c r="N50" s="6">
        <f t="shared" si="10"/>
        <v>6.685742574257425</v>
      </c>
      <c r="O50" s="6">
        <f t="shared" si="2"/>
        <v>4.7424752475247605</v>
      </c>
      <c r="P50" s="263">
        <v>0.8090269395551853</v>
      </c>
      <c r="Q50" s="262">
        <v>683.6802697725087</v>
      </c>
      <c r="R50" s="263">
        <v>6.8092848623615385</v>
      </c>
      <c r="S50" s="132">
        <f t="shared" si="11"/>
        <v>0.9513796530587301</v>
      </c>
      <c r="T50" s="141">
        <f t="shared" si="21"/>
        <v>90.38106704057935</v>
      </c>
      <c r="U50" s="144">
        <f t="shared" si="3"/>
        <v>43.47826086956522</v>
      </c>
      <c r="V50" s="6">
        <f t="shared" si="4"/>
        <v>617.9175229663049</v>
      </c>
      <c r="W50" s="6">
        <f t="shared" si="12"/>
        <v>509.9352697725087</v>
      </c>
      <c r="X50" s="6">
        <f t="shared" si="13"/>
        <v>11.7285112047677</v>
      </c>
      <c r="Y50" s="293">
        <f t="shared" si="5"/>
        <v>1</v>
      </c>
      <c r="Z50" s="296">
        <f t="shared" si="14"/>
        <v>0.40416913918257313</v>
      </c>
      <c r="AA50" s="61"/>
      <c r="AB50" s="57"/>
      <c r="AC50" s="57"/>
      <c r="AD50" s="57"/>
      <c r="AE50" s="57"/>
    </row>
    <row r="51" spans="1:31" ht="15.75" customHeight="1">
      <c r="A51" s="57"/>
      <c r="B51" s="28" t="s">
        <v>92</v>
      </c>
      <c r="C51" s="5">
        <v>45</v>
      </c>
      <c r="D51" s="76">
        <v>-2</v>
      </c>
      <c r="E51" s="76">
        <f t="shared" si="20"/>
        <v>-2.9272727272727277</v>
      </c>
      <c r="F51" s="77">
        <v>2</v>
      </c>
      <c r="G51" s="29">
        <f t="shared" si="19"/>
        <v>2.25</v>
      </c>
      <c r="H51" s="79">
        <v>1600</v>
      </c>
      <c r="I51" s="57"/>
      <c r="J51" s="130">
        <f t="shared" si="15"/>
        <v>0.12475247524752484</v>
      </c>
      <c r="K51" s="131">
        <f t="shared" si="7"/>
        <v>24.555555555555536</v>
      </c>
      <c r="L51" s="132">
        <f t="shared" si="8"/>
        <v>-3.5</v>
      </c>
      <c r="M51" s="6">
        <f t="shared" si="9"/>
        <v>11.85148514851486</v>
      </c>
      <c r="N51" s="6">
        <f t="shared" si="10"/>
        <v>6.772277227722778</v>
      </c>
      <c r="O51" s="6">
        <f t="shared" si="2"/>
        <v>5.079207920792081</v>
      </c>
      <c r="P51" s="263">
        <v>0.813820027071168</v>
      </c>
      <c r="Q51" s="262">
        <v>710.9941921787367</v>
      </c>
      <c r="R51" s="263">
        <v>7.0472972162203344</v>
      </c>
      <c r="S51" s="132">
        <f t="shared" si="11"/>
        <v>0.9494296007126892</v>
      </c>
      <c r="T51" s="141">
        <f t="shared" si="21"/>
        <v>90.19581206770548</v>
      </c>
      <c r="U51" s="144">
        <f t="shared" si="3"/>
        <v>43.47826086956522</v>
      </c>
      <c r="V51" s="6">
        <f t="shared" si="4"/>
        <v>641.2869853898341</v>
      </c>
      <c r="W51" s="6">
        <f t="shared" si="12"/>
        <v>537.2491921787367</v>
      </c>
      <c r="X51" s="6">
        <f t="shared" si="13"/>
        <v>12.356731420110945</v>
      </c>
      <c r="Y51" s="293">
        <f t="shared" si="5"/>
        <v>1</v>
      </c>
      <c r="Z51" s="296">
        <f t="shared" si="14"/>
        <v>0.40536589904907827</v>
      </c>
      <c r="AA51" s="61"/>
      <c r="AB51" s="57"/>
      <c r="AC51" s="57"/>
      <c r="AD51" s="57"/>
      <c r="AE51" s="57"/>
    </row>
    <row r="52" spans="1:31" ht="15.75" customHeight="1">
      <c r="A52" s="57"/>
      <c r="B52" s="28" t="s">
        <v>93</v>
      </c>
      <c r="C52" s="5">
        <v>50</v>
      </c>
      <c r="D52" s="76">
        <v>-2</v>
      </c>
      <c r="E52" s="76">
        <f t="shared" si="20"/>
        <v>-2.9272727272727277</v>
      </c>
      <c r="F52" s="77">
        <v>2</v>
      </c>
      <c r="G52" s="29">
        <f t="shared" si="19"/>
        <v>2.5</v>
      </c>
      <c r="H52" s="79">
        <v>1600</v>
      </c>
      <c r="I52" s="57"/>
      <c r="J52" s="130">
        <f t="shared" si="15"/>
        <v>0.1292079207920793</v>
      </c>
      <c r="K52" s="131">
        <f t="shared" si="7"/>
        <v>23.588122605363964</v>
      </c>
      <c r="L52" s="132">
        <f t="shared" si="8"/>
        <v>-3.5</v>
      </c>
      <c r="M52" s="6">
        <f t="shared" si="9"/>
        <v>12.274752475247533</v>
      </c>
      <c r="N52" s="6">
        <f t="shared" si="10"/>
        <v>7.01414427157002</v>
      </c>
      <c r="O52" s="6">
        <f t="shared" si="2"/>
        <v>5.2606082036775135</v>
      </c>
      <c r="P52" s="263">
        <v>0.8142897942891404</v>
      </c>
      <c r="Q52" s="262">
        <v>734.5236760491442</v>
      </c>
      <c r="R52" s="263">
        <v>7.304177248189671</v>
      </c>
      <c r="S52" s="132">
        <f t="shared" si="11"/>
        <v>0.9476781555046541</v>
      </c>
      <c r="T52" s="141">
        <f t="shared" si="21"/>
        <v>90.02942477294214</v>
      </c>
      <c r="U52" s="144">
        <f t="shared" si="3"/>
        <v>43.47826086956522</v>
      </c>
      <c r="V52" s="6">
        <f t="shared" si="4"/>
        <v>661.2874403681135</v>
      </c>
      <c r="W52" s="6">
        <f t="shared" si="12"/>
        <v>560.7786760491442</v>
      </c>
      <c r="X52" s="6">
        <f t="shared" si="13"/>
        <v>12.897909549130317</v>
      </c>
      <c r="Y52" s="293">
        <f t="shared" si="5"/>
        <v>1</v>
      </c>
      <c r="Z52" s="296">
        <f t="shared" si="14"/>
        <v>0.4049430110367766</v>
      </c>
      <c r="AA52" s="61"/>
      <c r="AB52" s="57"/>
      <c r="AC52" s="57"/>
      <c r="AD52" s="57"/>
      <c r="AE52" s="57"/>
    </row>
    <row r="53" spans="1:31" ht="15.75" customHeight="1">
      <c r="A53" s="57"/>
      <c r="B53" s="80" t="s">
        <v>94</v>
      </c>
      <c r="C53" s="5">
        <v>55</v>
      </c>
      <c r="D53" s="76">
        <v>-2.2</v>
      </c>
      <c r="E53" s="76">
        <f>-3.1*(0.4+0.6*H53/2200)</f>
        <v>-2.6772727272727272</v>
      </c>
      <c r="F53" s="77">
        <v>1.75</v>
      </c>
      <c r="G53" s="29">
        <f t="shared" si="19"/>
        <v>2.75</v>
      </c>
      <c r="H53" s="79">
        <v>1700</v>
      </c>
      <c r="I53" s="57"/>
      <c r="J53" s="130">
        <f t="shared" si="15"/>
        <v>0.13366336633663375</v>
      </c>
      <c r="K53" s="131">
        <f t="shared" si="7"/>
        <v>22.68518518518517</v>
      </c>
      <c r="L53" s="132">
        <f t="shared" si="8"/>
        <v>-3.5</v>
      </c>
      <c r="M53" s="6">
        <f t="shared" si="9"/>
        <v>12.698019801980207</v>
      </c>
      <c r="N53" s="6">
        <f t="shared" si="10"/>
        <v>7.256011315417259</v>
      </c>
      <c r="O53" s="6">
        <f t="shared" si="2"/>
        <v>5.442008486562948</v>
      </c>
      <c r="P53" s="263">
        <v>0.8147564530985498</v>
      </c>
      <c r="Q53" s="262">
        <v>757.919042930395</v>
      </c>
      <c r="R53" s="263">
        <v>7.56142603112141</v>
      </c>
      <c r="S53" s="132">
        <f t="shared" si="11"/>
        <v>0.945930591885697</v>
      </c>
      <c r="T53" s="141">
        <f t="shared" si="21"/>
        <v>89.8634062291412</v>
      </c>
      <c r="U53" s="144">
        <f t="shared" si="3"/>
        <v>43.47826086956522</v>
      </c>
      <c r="V53" s="6">
        <f t="shared" si="4"/>
        <v>681.09186843656</v>
      </c>
      <c r="W53" s="6">
        <f t="shared" si="12"/>
        <v>584.174042930395</v>
      </c>
      <c r="X53" s="6">
        <f t="shared" si="13"/>
        <v>13.436002987399084</v>
      </c>
      <c r="Y53" s="293">
        <f t="shared" si="5"/>
        <v>1</v>
      </c>
      <c r="Z53" s="296">
        <f t="shared" si="14"/>
        <v>0.4045192755218231</v>
      </c>
      <c r="AA53" s="61"/>
      <c r="AB53" s="57"/>
      <c r="AC53" s="57"/>
      <c r="AD53" s="57"/>
      <c r="AE53" s="57"/>
    </row>
    <row r="54" spans="1:31" ht="15.75" customHeight="1" thickBot="1">
      <c r="A54" s="57"/>
      <c r="B54" s="92" t="s">
        <v>95</v>
      </c>
      <c r="C54" s="82">
        <v>60</v>
      </c>
      <c r="D54" s="95">
        <v>-2.3</v>
      </c>
      <c r="E54" s="95">
        <f>-2.9*(0.4+0.6*H54/2200)</f>
        <v>-2.5836363636363635</v>
      </c>
      <c r="F54" s="96">
        <v>1.6</v>
      </c>
      <c r="G54" s="54">
        <f t="shared" si="19"/>
        <v>3</v>
      </c>
      <c r="H54" s="94">
        <v>1800</v>
      </c>
      <c r="I54" s="57"/>
      <c r="J54" s="130">
        <f t="shared" si="15"/>
        <v>0.1381188118811882</v>
      </c>
      <c r="K54" s="131">
        <f t="shared" si="7"/>
        <v>21.84050179211468</v>
      </c>
      <c r="L54" s="132">
        <f t="shared" si="8"/>
        <v>-3.5</v>
      </c>
      <c r="M54" s="6">
        <f t="shared" si="9"/>
        <v>13.121287128712881</v>
      </c>
      <c r="N54" s="6">
        <f t="shared" si="10"/>
        <v>7.497878359264503</v>
      </c>
      <c r="O54" s="6">
        <f t="shared" si="2"/>
        <v>5.623408769448378</v>
      </c>
      <c r="P54" s="263">
        <v>0.8152342823060396</v>
      </c>
      <c r="Q54" s="262">
        <v>781.1934411374968</v>
      </c>
      <c r="R54" s="263">
        <v>7.8190422238466155</v>
      </c>
      <c r="S54" s="132">
        <f t="shared" si="11"/>
        <v>0.9441868957382499</v>
      </c>
      <c r="T54" s="141">
        <f t="shared" si="21"/>
        <v>89.69775509513374</v>
      </c>
      <c r="U54" s="144">
        <f t="shared" si="3"/>
        <v>43.47826086956522</v>
      </c>
      <c r="V54" s="6">
        <f t="shared" si="4"/>
        <v>700.7129796507596</v>
      </c>
      <c r="W54" s="6">
        <f t="shared" si="12"/>
        <v>607.4484411374968</v>
      </c>
      <c r="X54" s="6">
        <f t="shared" si="13"/>
        <v>13.971314146162428</v>
      </c>
      <c r="Y54" s="293">
        <f t="shared" si="5"/>
        <v>1</v>
      </c>
      <c r="Z54" s="296">
        <f t="shared" si="14"/>
        <v>0.4040948767338181</v>
      </c>
      <c r="AA54" s="61"/>
      <c r="AB54" s="57"/>
      <c r="AC54" s="57"/>
      <c r="AD54" s="57"/>
      <c r="AE54" s="57"/>
    </row>
    <row r="55" spans="1:31" ht="15.75" customHeight="1" thickBot="1">
      <c r="A55" s="57"/>
      <c r="B55" s="57"/>
      <c r="C55" s="57"/>
      <c r="D55" s="57"/>
      <c r="E55" s="57"/>
      <c r="F55" s="57"/>
      <c r="G55" s="57"/>
      <c r="H55" s="57"/>
      <c r="I55" s="57"/>
      <c r="J55" s="130">
        <f t="shared" si="15"/>
        <v>0.14257425742574267</v>
      </c>
      <c r="K55" s="131">
        <f t="shared" si="7"/>
        <v>21.048611111111093</v>
      </c>
      <c r="L55" s="132">
        <f t="shared" si="8"/>
        <v>-3.5</v>
      </c>
      <c r="M55" s="6">
        <f t="shared" si="9"/>
        <v>13.544554455445555</v>
      </c>
      <c r="N55" s="6">
        <f t="shared" si="10"/>
        <v>7.739745403111746</v>
      </c>
      <c r="O55" s="6">
        <f t="shared" si="2"/>
        <v>5.804809052333809</v>
      </c>
      <c r="P55" s="263">
        <v>0.8157107968845699</v>
      </c>
      <c r="Q55" s="262">
        <v>804.3352203955365</v>
      </c>
      <c r="R55" s="263">
        <v>8.077034934928959</v>
      </c>
      <c r="S55" s="132">
        <f t="shared" si="11"/>
        <v>0.9424471629419306</v>
      </c>
      <c r="T55" s="141">
        <f t="shared" si="21"/>
        <v>89.53248047948341</v>
      </c>
      <c r="U55" s="144">
        <f t="shared" si="3"/>
        <v>43.47826086956522</v>
      </c>
      <c r="V55" s="6">
        <f t="shared" si="4"/>
        <v>720.1412741902436</v>
      </c>
      <c r="W55" s="6">
        <f t="shared" si="12"/>
        <v>630.5902203955364</v>
      </c>
      <c r="X55" s="6">
        <f t="shared" si="13"/>
        <v>14.503575069097337</v>
      </c>
      <c r="Y55" s="293">
        <f t="shared" si="5"/>
        <v>1</v>
      </c>
      <c r="Z55" s="296">
        <f t="shared" si="14"/>
        <v>0.4036692043656256</v>
      </c>
      <c r="AA55" s="61"/>
      <c r="AB55" s="57"/>
      <c r="AC55" s="57"/>
      <c r="AD55" s="57"/>
      <c r="AE55" s="57"/>
    </row>
    <row r="56" spans="1:31" ht="15.75" customHeight="1">
      <c r="A56" s="57"/>
      <c r="B56" s="56">
        <f>B2</f>
        <v>1</v>
      </c>
      <c r="C56" s="73" t="s">
        <v>96</v>
      </c>
      <c r="D56" s="73"/>
      <c r="E56" s="73"/>
      <c r="F56" s="2"/>
      <c r="G56" s="2"/>
      <c r="H56" s="99"/>
      <c r="I56" s="57"/>
      <c r="J56" s="130">
        <f t="shared" si="15"/>
        <v>0.14702970297029713</v>
      </c>
      <c r="K56" s="131">
        <f t="shared" si="7"/>
        <v>20.304713804713785</v>
      </c>
      <c r="L56" s="132">
        <f t="shared" si="8"/>
        <v>-3.5</v>
      </c>
      <c r="M56" s="6">
        <f t="shared" si="9"/>
        <v>13.967821782178227</v>
      </c>
      <c r="N56" s="6">
        <f t="shared" si="10"/>
        <v>7.981612446958989</v>
      </c>
      <c r="O56" s="6">
        <f t="shared" si="2"/>
        <v>5.986209335219238</v>
      </c>
      <c r="P56" s="263">
        <v>0.8161944656334816</v>
      </c>
      <c r="Q56" s="262">
        <v>827.3525785537104</v>
      </c>
      <c r="R56" s="263">
        <v>8.335401906874418</v>
      </c>
      <c r="S56" s="132">
        <f t="shared" si="11"/>
        <v>0.9407113697336442</v>
      </c>
      <c r="T56" s="141">
        <f t="shared" si="21"/>
        <v>89.3675801246962</v>
      </c>
      <c r="U56" s="144">
        <f t="shared" si="3"/>
        <v>43.47826086956522</v>
      </c>
      <c r="V56" s="6">
        <f t="shared" si="4"/>
        <v>739.3849785527273</v>
      </c>
      <c r="W56" s="6">
        <f t="shared" si="12"/>
        <v>653.6075785537104</v>
      </c>
      <c r="X56" s="6">
        <f t="shared" si="13"/>
        <v>15.032974306735339</v>
      </c>
      <c r="Y56" s="293">
        <f t="shared" si="5"/>
        <v>1</v>
      </c>
      <c r="Z56" s="296">
        <f t="shared" si="14"/>
        <v>0.40324253581831243</v>
      </c>
      <c r="AA56" s="61"/>
      <c r="AB56" s="57"/>
      <c r="AC56" s="57"/>
      <c r="AD56" s="57"/>
      <c r="AE56" s="57"/>
    </row>
    <row r="57" spans="1:31" ht="15.75" customHeight="1">
      <c r="A57" s="57"/>
      <c r="B57" s="88" t="s">
        <v>34</v>
      </c>
      <c r="C57" s="45" t="s">
        <v>63</v>
      </c>
      <c r="D57" s="45" t="s">
        <v>3</v>
      </c>
      <c r="E57" s="45" t="s">
        <v>64</v>
      </c>
      <c r="F57" s="45" t="s">
        <v>65</v>
      </c>
      <c r="G57" s="45" t="s">
        <v>66</v>
      </c>
      <c r="H57" s="46"/>
      <c r="I57" s="57"/>
      <c r="J57" s="130">
        <f t="shared" si="15"/>
        <v>0.1514851485148516</v>
      </c>
      <c r="K57" s="131">
        <f t="shared" si="7"/>
        <v>19.604575163398675</v>
      </c>
      <c r="L57" s="132">
        <f t="shared" si="8"/>
        <v>-3.5</v>
      </c>
      <c r="M57" s="6">
        <f t="shared" si="9"/>
        <v>14.3910891089109</v>
      </c>
      <c r="N57" s="6">
        <f t="shared" si="10"/>
        <v>8.22347949080623</v>
      </c>
      <c r="O57" s="6">
        <f t="shared" si="2"/>
        <v>6.16760961810467</v>
      </c>
      <c r="P57" s="263">
        <v>0.8166817434722632</v>
      </c>
      <c r="Q57" s="262">
        <v>850.2421363658149</v>
      </c>
      <c r="R57" s="263">
        <v>8.594150457060492</v>
      </c>
      <c r="S57" s="132">
        <f t="shared" si="11"/>
        <v>0.9389795931384167</v>
      </c>
      <c r="T57" s="141">
        <f t="shared" si="21"/>
        <v>89.20306134814959</v>
      </c>
      <c r="U57" s="144">
        <f t="shared" si="3"/>
        <v>43.47826086956522</v>
      </c>
      <c r="V57" s="6">
        <f t="shared" si="4"/>
        <v>758.4420145102155</v>
      </c>
      <c r="W57" s="6">
        <f t="shared" si="12"/>
        <v>676.4971363658149</v>
      </c>
      <c r="X57" s="6">
        <f t="shared" si="13"/>
        <v>15.559434136413742</v>
      </c>
      <c r="Y57" s="293">
        <f t="shared" si="5"/>
        <v>1</v>
      </c>
      <c r="Z57" s="296">
        <f t="shared" si="14"/>
        <v>0.40281445052417675</v>
      </c>
      <c r="AA57" s="61"/>
      <c r="AB57" s="57"/>
      <c r="AC57" s="57"/>
      <c r="AD57" s="57"/>
      <c r="AE57" s="57"/>
    </row>
    <row r="58" spans="1:31" ht="15.75" customHeight="1">
      <c r="A58" s="57"/>
      <c r="B58" s="101" t="str">
        <f>IF(B2=1,G20,G40)</f>
        <v>C 20/25</v>
      </c>
      <c r="C58" s="97">
        <f>IF($B$2=1,C22,C42)</f>
        <v>20</v>
      </c>
      <c r="D58" s="97">
        <f>IF($B$2=1,D22,D42)</f>
        <v>-2</v>
      </c>
      <c r="E58" s="97">
        <f>IF($B$2=1,E22,E42)</f>
        <v>-3.5</v>
      </c>
      <c r="F58" s="34">
        <f>IF($B$2=1,F22,F42)</f>
        <v>2</v>
      </c>
      <c r="G58" s="97">
        <f>IF($B$2=1,G22,G42)</f>
        <v>1.1333333333333333</v>
      </c>
      <c r="H58" s="65"/>
      <c r="I58" s="57"/>
      <c r="J58" s="130">
        <f t="shared" si="15"/>
        <v>0.15594059405940605</v>
      </c>
      <c r="K58" s="78">
        <f t="shared" si="7"/>
        <v>18.94444444444443</v>
      </c>
      <c r="L58" s="124">
        <f t="shared" si="8"/>
        <v>-3.5</v>
      </c>
      <c r="M58" s="6">
        <f t="shared" si="9"/>
        <v>14.814356435643575</v>
      </c>
      <c r="N58" s="6">
        <f t="shared" si="10"/>
        <v>8.465346534653472</v>
      </c>
      <c r="O58" s="6">
        <f t="shared" si="2"/>
        <v>6.349009900990103</v>
      </c>
      <c r="P58" s="263">
        <v>0.8171704568650299</v>
      </c>
      <c r="Q58" s="262">
        <v>873.0015854041909</v>
      </c>
      <c r="R58" s="263">
        <v>8.853282432206385</v>
      </c>
      <c r="S58" s="132">
        <f t="shared" si="11"/>
        <v>0.937251852595398</v>
      </c>
      <c r="T58" s="141">
        <f t="shared" si="21"/>
        <v>89.03892599656281</v>
      </c>
      <c r="U58" s="144">
        <f t="shared" si="3"/>
        <v>43.47826086956522</v>
      </c>
      <c r="V58" s="6">
        <f>Q58*T58/100</f>
        <v>777.3112355768576</v>
      </c>
      <c r="W58" s="6">
        <f t="shared" si="12"/>
        <v>699.2565854041909</v>
      </c>
      <c r="X58" s="6">
        <f t="shared" si="13"/>
        <v>16.08290146429639</v>
      </c>
      <c r="Y58" s="293">
        <f t="shared" si="5"/>
        <v>1</v>
      </c>
      <c r="Z58" s="296">
        <f t="shared" si="14"/>
        <v>0.402384945261257</v>
      </c>
      <c r="AA58" s="61"/>
      <c r="AB58" s="57"/>
      <c r="AC58" s="57"/>
      <c r="AD58" s="57"/>
      <c r="AE58" s="57"/>
    </row>
    <row r="59" spans="1:31" ht="15.75" customHeight="1">
      <c r="A59" s="57"/>
      <c r="B59" s="63" t="s">
        <v>97</v>
      </c>
      <c r="C59" s="5"/>
      <c r="D59" s="5"/>
      <c r="E59" s="5"/>
      <c r="F59" s="5"/>
      <c r="G59" s="5" t="s">
        <v>98</v>
      </c>
      <c r="H59" s="72"/>
      <c r="I59" s="57"/>
      <c r="J59" s="130">
        <f t="shared" si="15"/>
        <v>0.1603960396039605</v>
      </c>
      <c r="K59" s="131">
        <f t="shared" si="7"/>
        <v>18.320987654320973</v>
      </c>
      <c r="L59" s="132">
        <f t="shared" si="8"/>
        <v>-3.5</v>
      </c>
      <c r="M59" s="6">
        <f t="shared" si="9"/>
        <v>15.237623762376248</v>
      </c>
      <c r="N59" s="6">
        <f t="shared" si="10"/>
        <v>8.707213578500713</v>
      </c>
      <c r="O59" s="6">
        <f t="shared" si="2"/>
        <v>6.530410183875535</v>
      </c>
      <c r="P59" s="263">
        <v>0.8176664682457847</v>
      </c>
      <c r="Q59" s="262">
        <v>895.637180258179</v>
      </c>
      <c r="R59" s="263">
        <v>9.112800151793596</v>
      </c>
      <c r="S59" s="132">
        <f t="shared" si="11"/>
        <v>0.9355281725201826</v>
      </c>
      <c r="T59" s="141">
        <f t="shared" si="21"/>
        <v>88.87517638941735</v>
      </c>
      <c r="U59" s="144">
        <f t="shared" si="3"/>
        <v>43.47826086956522</v>
      </c>
      <c r="V59" s="6">
        <f>Q59*T59/100</f>
        <v>795.9991237636605</v>
      </c>
      <c r="W59" s="6">
        <f t="shared" si="12"/>
        <v>721.892180258179</v>
      </c>
      <c r="X59" s="6">
        <f t="shared" si="13"/>
        <v>16.603520145938116</v>
      </c>
      <c r="Y59" s="293">
        <f t="shared" si="5"/>
        <v>1</v>
      </c>
      <c r="Z59" s="296">
        <f t="shared" si="14"/>
        <v>0.401953986139602</v>
      </c>
      <c r="AA59" s="61"/>
      <c r="AB59" s="57"/>
      <c r="AC59" s="57"/>
      <c r="AD59" s="57"/>
      <c r="AE59" s="57"/>
    </row>
    <row r="60" spans="1:31" ht="15.75" customHeight="1">
      <c r="A60" s="57"/>
      <c r="B60" s="88" t="s">
        <v>99</v>
      </c>
      <c r="C60" s="74" t="s">
        <v>59</v>
      </c>
      <c r="D60" s="74" t="s">
        <v>100</v>
      </c>
      <c r="E60" s="74" t="s">
        <v>101</v>
      </c>
      <c r="F60" s="5"/>
      <c r="G60" s="74" t="s">
        <v>59</v>
      </c>
      <c r="H60" s="75" t="s">
        <v>102</v>
      </c>
      <c r="I60" s="57"/>
      <c r="J60" s="130">
        <f t="shared" si="15"/>
        <v>0.16485148514851497</v>
      </c>
      <c r="K60" s="131">
        <f t="shared" si="7"/>
        <v>17.731231231231213</v>
      </c>
      <c r="L60" s="132">
        <f t="shared" si="8"/>
        <v>-3.5</v>
      </c>
      <c r="M60" s="6">
        <f t="shared" si="9"/>
        <v>15.660891089108922</v>
      </c>
      <c r="N60" s="6">
        <f t="shared" si="10"/>
        <v>8.949080622347957</v>
      </c>
      <c r="O60" s="6">
        <f t="shared" si="2"/>
        <v>6.711810466760966</v>
      </c>
      <c r="P60" s="263">
        <v>0.8181621873353416</v>
      </c>
      <c r="Q60" s="262">
        <v>918.1407066493144</v>
      </c>
      <c r="R60" s="263">
        <v>9.372709716479493</v>
      </c>
      <c r="S60" s="132">
        <f t="shared" si="11"/>
        <v>0.9338086171302165</v>
      </c>
      <c r="T60" s="141">
        <f t="shared" si="21"/>
        <v>88.71181862737056</v>
      </c>
      <c r="U60" s="144">
        <f t="shared" si="3"/>
        <v>43.47826086956522</v>
      </c>
      <c r="V60" s="6">
        <f t="shared" si="4"/>
        <v>814.4993184267983</v>
      </c>
      <c r="W60" s="6">
        <f t="shared" si="12"/>
        <v>744.3957066493144</v>
      </c>
      <c r="X60" s="6">
        <f t="shared" si="13"/>
        <v>17.12110125293423</v>
      </c>
      <c r="Y60" s="293">
        <f t="shared" si="5"/>
        <v>1</v>
      </c>
      <c r="Z60" s="296">
        <f t="shared" si="14"/>
        <v>0.4015213014923799</v>
      </c>
      <c r="AA60" s="61"/>
      <c r="AB60" s="57"/>
      <c r="AC60" s="57"/>
      <c r="AD60" s="57"/>
      <c r="AE60" s="57"/>
    </row>
    <row r="61" spans="1:31" ht="15.75" customHeight="1">
      <c r="A61" s="57"/>
      <c r="B61" s="63">
        <v>0</v>
      </c>
      <c r="C61" s="78">
        <v>0</v>
      </c>
      <c r="D61" s="102">
        <f>-(1-(1-C61/$D$58)^$F$58)*$G$58</f>
        <v>0</v>
      </c>
      <c r="E61" s="76">
        <f>-(1-(1-C61/$D$58)^$F$58)*$C$58/10</f>
        <v>0</v>
      </c>
      <c r="F61" s="5"/>
      <c r="G61" s="77">
        <f>$D$58</f>
        <v>-2</v>
      </c>
      <c r="H61" s="103">
        <v>0</v>
      </c>
      <c r="I61" s="57"/>
      <c r="J61" s="130">
        <f t="shared" si="15"/>
        <v>0.16930693069306943</v>
      </c>
      <c r="K61" s="131">
        <f t="shared" si="7"/>
        <v>17.172514619883028</v>
      </c>
      <c r="L61" s="132">
        <f t="shared" si="8"/>
        <v>-3.5</v>
      </c>
      <c r="M61" s="6">
        <f t="shared" si="9"/>
        <v>16.084158415841596</v>
      </c>
      <c r="N61" s="6">
        <f t="shared" si="10"/>
        <v>9.190947666195196</v>
      </c>
      <c r="O61" s="6">
        <f t="shared" si="2"/>
        <v>6.8932107496464</v>
      </c>
      <c r="P61" s="263">
        <v>0.818665271450694</v>
      </c>
      <c r="Q61" s="262">
        <v>940.5206499111526</v>
      </c>
      <c r="R61" s="263">
        <v>9.633010434210682</v>
      </c>
      <c r="S61" s="132">
        <f t="shared" si="11"/>
        <v>0.9320931791407271</v>
      </c>
      <c r="T61" s="141">
        <f t="shared" si="21"/>
        <v>88.54885201836908</v>
      </c>
      <c r="U61" s="144">
        <f t="shared" si="3"/>
        <v>43.47826086956522</v>
      </c>
      <c r="V61" s="6">
        <f t="shared" si="4"/>
        <v>832.8202384920296</v>
      </c>
      <c r="W61" s="6">
        <f t="shared" si="12"/>
        <v>766.7756499111526</v>
      </c>
      <c r="X61" s="6">
        <f t="shared" si="13"/>
        <v>17.63583994795651</v>
      </c>
      <c r="Y61" s="293">
        <f t="shared" si="5"/>
        <v>1</v>
      </c>
      <c r="Z61" s="296">
        <f t="shared" si="14"/>
        <v>0.40108707057231263</v>
      </c>
      <c r="AA61" s="61"/>
      <c r="AB61" s="57"/>
      <c r="AC61" s="57"/>
      <c r="AD61" s="57"/>
      <c r="AE61" s="57"/>
    </row>
    <row r="62" spans="1:31" ht="15.75" customHeight="1">
      <c r="A62" s="57"/>
      <c r="B62" s="63">
        <v>1</v>
      </c>
      <c r="C62" s="78">
        <f>C61+$D$58/20</f>
        <v>-0.1</v>
      </c>
      <c r="D62" s="102">
        <f>-(1-(1-C62/$D$58)^$F$58)*$G$58</f>
        <v>-0.11050000000000003</v>
      </c>
      <c r="E62" s="76">
        <f aca="true" t="shared" si="22" ref="E62:E80">-(1-(1-C62/$D$58)^$F$58)*$C$58/10</f>
        <v>-0.19500000000000006</v>
      </c>
      <c r="F62" s="5"/>
      <c r="G62" s="77">
        <f>$D$58</f>
        <v>-2</v>
      </c>
      <c r="H62" s="103">
        <f>-G58</f>
        <v>-1.1333333333333333</v>
      </c>
      <c r="I62" s="57"/>
      <c r="J62" s="130">
        <f t="shared" si="15"/>
        <v>0.1737623762376239</v>
      </c>
      <c r="K62" s="131">
        <f t="shared" si="7"/>
        <v>16.642450142450127</v>
      </c>
      <c r="L62" s="132">
        <f t="shared" si="8"/>
        <v>-3.5</v>
      </c>
      <c r="M62" s="6">
        <f t="shared" si="9"/>
        <v>16.50742574257427</v>
      </c>
      <c r="N62" s="6">
        <f t="shared" si="10"/>
        <v>9.43281471004244</v>
      </c>
      <c r="O62" s="6">
        <f t="shared" si="2"/>
        <v>7.0746110325318305</v>
      </c>
      <c r="P62" s="263">
        <v>0.8191695337618529</v>
      </c>
      <c r="Q62" s="262">
        <v>962.7700349472592</v>
      </c>
      <c r="R62" s="263">
        <v>9.893709694055538</v>
      </c>
      <c r="S62" s="132">
        <f t="shared" si="11"/>
        <v>0.9303819363313817</v>
      </c>
      <c r="T62" s="141">
        <f t="shared" si="21"/>
        <v>88.38628395148126</v>
      </c>
      <c r="U62" s="144">
        <f t="shared" si="3"/>
        <v>43.47826086956522</v>
      </c>
      <c r="V62" s="6">
        <f t="shared" si="4"/>
        <v>850.9566568882599</v>
      </c>
      <c r="W62" s="6">
        <f t="shared" si="12"/>
        <v>789.0250349472592</v>
      </c>
      <c r="X62" s="6">
        <f t="shared" si="13"/>
        <v>18.14757580378696</v>
      </c>
      <c r="Y62" s="293">
        <f t="shared" si="5"/>
        <v>1</v>
      </c>
      <c r="Z62" s="296">
        <f t="shared" si="14"/>
        <v>0.400650964702589</v>
      </c>
      <c r="AA62" s="61"/>
      <c r="AB62" s="57"/>
      <c r="AC62" s="57"/>
      <c r="AD62" s="57"/>
      <c r="AE62" s="57"/>
    </row>
    <row r="63" spans="1:31" ht="15.75" customHeight="1">
      <c r="A63" s="57"/>
      <c r="B63" s="63">
        <v>2</v>
      </c>
      <c r="C63" s="78">
        <f aca="true" t="shared" si="23" ref="C63:C81">C62+$D$58/20</f>
        <v>-0.2</v>
      </c>
      <c r="D63" s="102">
        <f>-(1-(1-C63/$D$58)^$F$58)*$G$58</f>
        <v>-0.21533333333333327</v>
      </c>
      <c r="E63" s="76">
        <f t="shared" si="22"/>
        <v>-0.3799999999999999</v>
      </c>
      <c r="F63" s="5"/>
      <c r="G63" s="77">
        <f>$D$58</f>
        <v>-2</v>
      </c>
      <c r="H63" s="103">
        <f>-C58/10</f>
        <v>-2</v>
      </c>
      <c r="I63" s="57"/>
      <c r="J63" s="130">
        <f t="shared" si="15"/>
        <v>0.17821782178217835</v>
      </c>
      <c r="K63" s="131">
        <f t="shared" si="7"/>
        <v>16.138888888888875</v>
      </c>
      <c r="L63" s="132">
        <f t="shared" si="8"/>
        <v>-3.5</v>
      </c>
      <c r="M63" s="6">
        <f t="shared" si="9"/>
        <v>16.930693069306944</v>
      </c>
      <c r="N63" s="6">
        <f t="shared" si="10"/>
        <v>9.674681753889681</v>
      </c>
      <c r="O63" s="6">
        <f t="shared" si="2"/>
        <v>7.256011315417263</v>
      </c>
      <c r="P63" s="263">
        <v>0.819678675317407</v>
      </c>
      <c r="Q63" s="262">
        <v>984.8931091143837</v>
      </c>
      <c r="R63" s="263">
        <v>10.15480739727347</v>
      </c>
      <c r="S63" s="132">
        <f t="shared" si="11"/>
        <v>0.9286748876628056</v>
      </c>
      <c r="T63" s="141">
        <f t="shared" si="21"/>
        <v>88.22411432796653</v>
      </c>
      <c r="U63" s="144">
        <f t="shared" si="3"/>
        <v>43.47826086956522</v>
      </c>
      <c r="V63" s="6">
        <f t="shared" si="4"/>
        <v>868.913222593338</v>
      </c>
      <c r="W63" s="6">
        <f t="shared" si="12"/>
        <v>811.1481091143837</v>
      </c>
      <c r="X63" s="6">
        <f t="shared" si="13"/>
        <v>18.656406509630823</v>
      </c>
      <c r="Y63" s="293">
        <f t="shared" si="5"/>
        <v>1</v>
      </c>
      <c r="Z63" s="296">
        <f t="shared" si="14"/>
        <v>0.40021313033647976</v>
      </c>
      <c r="AA63" s="61"/>
      <c r="AB63" s="57"/>
      <c r="AC63" s="57"/>
      <c r="AD63" s="57"/>
      <c r="AE63" s="57"/>
    </row>
    <row r="64" spans="1:31" ht="15.75" customHeight="1">
      <c r="A64" s="57"/>
      <c r="B64" s="63">
        <v>3</v>
      </c>
      <c r="C64" s="78">
        <f t="shared" si="23"/>
        <v>-0.30000000000000004</v>
      </c>
      <c r="D64" s="102">
        <f aca="true" t="shared" si="24" ref="D64:D80">-(1-(1-C64/$D$58)^$F$58)*$G$58</f>
        <v>-0.31450000000000006</v>
      </c>
      <c r="E64" s="76">
        <f t="shared" si="22"/>
        <v>-0.5550000000000002</v>
      </c>
      <c r="F64" s="5"/>
      <c r="G64" s="5"/>
      <c r="H64" s="103"/>
      <c r="I64" s="57"/>
      <c r="J64" s="130">
        <f t="shared" si="15"/>
        <v>0.1826732673267328</v>
      </c>
      <c r="K64" s="131">
        <f t="shared" si="7"/>
        <v>15.659891598915975</v>
      </c>
      <c r="L64" s="132">
        <f t="shared" si="8"/>
        <v>-3.5</v>
      </c>
      <c r="M64" s="6">
        <f t="shared" si="9"/>
        <v>17.353960396039618</v>
      </c>
      <c r="N64" s="6">
        <f t="shared" si="10"/>
        <v>9.916548797736924</v>
      </c>
      <c r="O64" s="6">
        <f t="shared" si="2"/>
        <v>7.437411598302694</v>
      </c>
      <c r="P64" s="263">
        <v>0.8201918980875912</v>
      </c>
      <c r="Q64" s="262">
        <v>1006.8889811008671</v>
      </c>
      <c r="R64" s="263">
        <v>10.416308787351863</v>
      </c>
      <c r="S64" s="132">
        <f t="shared" si="11"/>
        <v>0.9269720883296027</v>
      </c>
      <c r="T64" s="141">
        <f t="shared" si="21"/>
        <v>88.06234839131226</v>
      </c>
      <c r="U64" s="144">
        <f t="shared" si="3"/>
        <v>43.47826086956522</v>
      </c>
      <c r="V64" s="6">
        <f t="shared" si="4"/>
        <v>886.6900824507799</v>
      </c>
      <c r="W64" s="6">
        <f t="shared" si="12"/>
        <v>833.1439811008671</v>
      </c>
      <c r="X64" s="6">
        <f t="shared" si="13"/>
        <v>19.162311565319943</v>
      </c>
      <c r="Y64" s="293">
        <f t="shared" si="5"/>
        <v>1</v>
      </c>
      <c r="Z64" s="296">
        <f t="shared" si="14"/>
        <v>0.39977339180000726</v>
      </c>
      <c r="AA64" s="61"/>
      <c r="AB64" s="57"/>
      <c r="AC64" s="57"/>
      <c r="AD64" s="57"/>
      <c r="AE64" s="57"/>
    </row>
    <row r="65" spans="1:31" ht="15.75" customHeight="1">
      <c r="A65" s="57"/>
      <c r="B65" s="63">
        <v>4</v>
      </c>
      <c r="C65" s="78">
        <f t="shared" si="23"/>
        <v>-0.4</v>
      </c>
      <c r="D65" s="102">
        <f t="shared" si="24"/>
        <v>-0.40799999999999986</v>
      </c>
      <c r="E65" s="76">
        <f t="shared" si="22"/>
        <v>-0.7199999999999998</v>
      </c>
      <c r="F65" s="5"/>
      <c r="G65" s="77">
        <f>$E$58</f>
        <v>-3.5</v>
      </c>
      <c r="H65" s="103">
        <v>0</v>
      </c>
      <c r="I65" s="57"/>
      <c r="J65" s="130">
        <f t="shared" si="15"/>
        <v>0.18712871287128727</v>
      </c>
      <c r="K65" s="131">
        <f t="shared" si="7"/>
        <v>15.203703703703688</v>
      </c>
      <c r="L65" s="132">
        <f t="shared" si="8"/>
        <v>-3.5</v>
      </c>
      <c r="M65" s="6">
        <f t="shared" si="9"/>
        <v>17.77722772277229</v>
      </c>
      <c r="N65" s="6">
        <f t="shared" si="10"/>
        <v>10.158415841584166</v>
      </c>
      <c r="O65" s="6">
        <f t="shared" si="2"/>
        <v>7.618811881188126</v>
      </c>
      <c r="P65" s="263">
        <v>0.8207069944300525</v>
      </c>
      <c r="Q65" s="262">
        <v>1028.7549043868798</v>
      </c>
      <c r="R65" s="263">
        <v>10.678217255247421</v>
      </c>
      <c r="S65" s="132">
        <f t="shared" si="11"/>
        <v>0.9252735740260539</v>
      </c>
      <c r="T65" s="141">
        <f aca="true" t="shared" si="25" ref="T65:T108">$M$4-M65+R65</f>
        <v>87.90098953247512</v>
      </c>
      <c r="U65" s="144">
        <f t="shared" si="3"/>
        <v>43.47826086956522</v>
      </c>
      <c r="V65" s="6">
        <f t="shared" si="4"/>
        <v>904.2857408199358</v>
      </c>
      <c r="W65" s="6">
        <f t="shared" si="12"/>
        <v>855.0099043868798</v>
      </c>
      <c r="X65" s="6">
        <f t="shared" si="13"/>
        <v>19.665227800898236</v>
      </c>
      <c r="Y65" s="293">
        <f t="shared" si="5"/>
        <v>1</v>
      </c>
      <c r="Z65" s="296">
        <f t="shared" si="14"/>
        <v>0.3993316943581238</v>
      </c>
      <c r="AA65" s="61"/>
      <c r="AB65" s="57"/>
      <c r="AC65" s="57"/>
      <c r="AD65" s="57"/>
      <c r="AE65" s="57"/>
    </row>
    <row r="66" spans="1:31" ht="15.75" customHeight="1">
      <c r="A66" s="57"/>
      <c r="B66" s="63">
        <v>5</v>
      </c>
      <c r="C66" s="78">
        <f t="shared" si="23"/>
        <v>-0.5</v>
      </c>
      <c r="D66" s="102">
        <f t="shared" si="24"/>
        <v>-0.49583333333333335</v>
      </c>
      <c r="E66" s="76">
        <f t="shared" si="22"/>
        <v>-0.875</v>
      </c>
      <c r="F66" s="5"/>
      <c r="G66" s="77">
        <f>$E$58</f>
        <v>-3.5</v>
      </c>
      <c r="H66" s="103">
        <f>-G58</f>
        <v>-1.1333333333333333</v>
      </c>
      <c r="I66" s="57"/>
      <c r="J66" s="130">
        <f t="shared" si="15"/>
        <v>0.19158415841584173</v>
      </c>
      <c r="K66" s="131">
        <f t="shared" si="7"/>
        <v>14.768733850129186</v>
      </c>
      <c r="L66" s="132">
        <f t="shared" si="8"/>
        <v>-3.5</v>
      </c>
      <c r="M66" s="6">
        <f t="shared" si="9"/>
        <v>18.200495049504966</v>
      </c>
      <c r="N66" s="6">
        <f t="shared" si="10"/>
        <v>10.400282885431407</v>
      </c>
      <c r="O66" s="6">
        <f t="shared" si="2"/>
        <v>7.800212164073558</v>
      </c>
      <c r="P66" s="263">
        <v>0.821228067903258</v>
      </c>
      <c r="Q66" s="262">
        <v>1050.4959740934792</v>
      </c>
      <c r="R66" s="263">
        <v>10.940534447683849</v>
      </c>
      <c r="S66" s="132">
        <f t="shared" si="11"/>
        <v>0.9235793620860935</v>
      </c>
      <c r="T66" s="141">
        <f t="shared" si="25"/>
        <v>87.74003939817888</v>
      </c>
      <c r="U66" s="144">
        <f t="shared" si="3"/>
        <v>43.47826086956522</v>
      </c>
      <c r="V66" s="6">
        <f t="shared" si="4"/>
        <v>921.7055815459016</v>
      </c>
      <c r="W66" s="6">
        <f t="shared" si="12"/>
        <v>876.7509740934792</v>
      </c>
      <c r="X66" s="6">
        <f t="shared" si="13"/>
        <v>20.16527240415002</v>
      </c>
      <c r="Y66" s="293">
        <f t="shared" si="5"/>
        <v>1</v>
      </c>
      <c r="Z66" s="296">
        <f t="shared" si="14"/>
        <v>0.3988880842017855</v>
      </c>
      <c r="AA66" s="61"/>
      <c r="AB66" s="57"/>
      <c r="AC66" s="57"/>
      <c r="AD66" s="57"/>
      <c r="AE66" s="57"/>
    </row>
    <row r="67" spans="1:31" ht="15.75" customHeight="1">
      <c r="A67" s="57"/>
      <c r="B67" s="63">
        <v>6</v>
      </c>
      <c r="C67" s="78">
        <f t="shared" si="23"/>
        <v>-0.6</v>
      </c>
      <c r="D67" s="102">
        <f t="shared" si="24"/>
        <v>-0.578</v>
      </c>
      <c r="E67" s="76">
        <f t="shared" si="22"/>
        <v>-1.02</v>
      </c>
      <c r="F67" s="5"/>
      <c r="G67" s="77">
        <f>$E$58</f>
        <v>-3.5</v>
      </c>
      <c r="H67" s="103">
        <f>-C58/10</f>
        <v>-2</v>
      </c>
      <c r="I67" s="57"/>
      <c r="J67" s="130">
        <f t="shared" si="15"/>
        <v>0.19603960396039619</v>
      </c>
      <c r="K67" s="131">
        <f t="shared" si="7"/>
        <v>14.35353535353534</v>
      </c>
      <c r="L67" s="132">
        <f t="shared" si="8"/>
        <v>-3.5</v>
      </c>
      <c r="M67" s="6">
        <f t="shared" si="9"/>
        <v>18.62376237623764</v>
      </c>
      <c r="N67" s="6">
        <f t="shared" si="10"/>
        <v>10.64214992927865</v>
      </c>
      <c r="O67" s="6">
        <f t="shared" si="2"/>
        <v>7.981612446958989</v>
      </c>
      <c r="P67" s="263">
        <v>0.8217504356645189</v>
      </c>
      <c r="Q67" s="262">
        <v>1072.1062381947684</v>
      </c>
      <c r="R67" s="263">
        <v>11.20326648293888</v>
      </c>
      <c r="S67" s="132">
        <f t="shared" si="11"/>
        <v>0.9218895169126448</v>
      </c>
      <c r="T67" s="141">
        <f t="shared" si="25"/>
        <v>87.57950410670125</v>
      </c>
      <c r="U67" s="144">
        <f t="shared" si="3"/>
        <v>43.47826086956522</v>
      </c>
      <c r="V67" s="6">
        <f t="shared" si="4"/>
        <v>938.9453269079875</v>
      </c>
      <c r="W67" s="6">
        <f t="shared" si="12"/>
        <v>898.3612381947684</v>
      </c>
      <c r="X67" s="6">
        <f t="shared" si="13"/>
        <v>20.662308478479673</v>
      </c>
      <c r="Y67" s="293">
        <f t="shared" si="5"/>
        <v>1</v>
      </c>
      <c r="Z67" s="296">
        <f t="shared" si="14"/>
        <v>0.39844236322337806</v>
      </c>
      <c r="AA67" s="61"/>
      <c r="AB67" s="57"/>
      <c r="AC67" s="57"/>
      <c r="AD67" s="57"/>
      <c r="AE67" s="57"/>
    </row>
    <row r="68" spans="1:31" ht="15.75" customHeight="1">
      <c r="A68" s="57"/>
      <c r="B68" s="63">
        <v>7</v>
      </c>
      <c r="C68" s="78">
        <f t="shared" si="23"/>
        <v>-0.7</v>
      </c>
      <c r="D68" s="102">
        <f t="shared" si="24"/>
        <v>-0.6544999999999999</v>
      </c>
      <c r="E68" s="76">
        <f t="shared" si="22"/>
        <v>-1.1549999999999998</v>
      </c>
      <c r="F68" s="5"/>
      <c r="G68" s="5"/>
      <c r="H68" s="72"/>
      <c r="I68" s="57"/>
      <c r="J68" s="130">
        <f t="shared" si="15"/>
        <v>0.20049504950495065</v>
      </c>
      <c r="K68" s="78">
        <f t="shared" si="7"/>
        <v>13.956790123456775</v>
      </c>
      <c r="L68" s="124">
        <f t="shared" si="8"/>
        <v>-3.5</v>
      </c>
      <c r="M68" s="6">
        <f t="shared" si="9"/>
        <v>19.04702970297031</v>
      </c>
      <c r="N68" s="6">
        <f t="shared" si="10"/>
        <v>10.884016973125894</v>
      </c>
      <c r="O68" s="6">
        <f t="shared" si="2"/>
        <v>8.163012729844416</v>
      </c>
      <c r="P68" s="263">
        <v>0.822278549981469</v>
      </c>
      <c r="Q68" s="262">
        <v>1093.5914132442297</v>
      </c>
      <c r="R68" s="263">
        <v>11.466413520699806</v>
      </c>
      <c r="S68" s="132">
        <f t="shared" si="11"/>
        <v>0.9202040401866263</v>
      </c>
      <c r="T68" s="141">
        <f t="shared" si="25"/>
        <v>87.4193838177295</v>
      </c>
      <c r="U68" s="144">
        <f t="shared" si="3"/>
        <v>43.47826086956522</v>
      </c>
      <c r="V68" s="6">
        <f>Q68*T68/100</f>
        <v>956.0108749417054</v>
      </c>
      <c r="W68" s="6">
        <f t="shared" si="12"/>
        <v>919.8464132442297</v>
      </c>
      <c r="X68" s="6">
        <f t="shared" si="13"/>
        <v>21.156467504617282</v>
      </c>
      <c r="Y68" s="293">
        <f t="shared" si="5"/>
        <v>1</v>
      </c>
      <c r="Z68" s="296">
        <f t="shared" si="14"/>
        <v>0.3979946637605304</v>
      </c>
      <c r="AA68" s="61"/>
      <c r="AB68" s="57"/>
      <c r="AC68" s="57"/>
      <c r="AD68" s="57"/>
      <c r="AE68" s="57"/>
    </row>
    <row r="69" spans="1:31" ht="15.75" customHeight="1">
      <c r="A69" s="57"/>
      <c r="B69" s="63">
        <v>8</v>
      </c>
      <c r="C69" s="78">
        <f t="shared" si="23"/>
        <v>-0.7999999999999999</v>
      </c>
      <c r="D69" s="102">
        <f t="shared" si="24"/>
        <v>-0.7253333333333332</v>
      </c>
      <c r="E69" s="76">
        <f t="shared" si="22"/>
        <v>-1.2799999999999998</v>
      </c>
      <c r="F69" s="5"/>
      <c r="G69" s="5"/>
      <c r="H69" s="72"/>
      <c r="I69" s="57"/>
      <c r="J69" s="130">
        <f t="shared" si="15"/>
        <v>0.2049504950495051</v>
      </c>
      <c r="K69" s="131">
        <f t="shared" si="7"/>
        <v>13.577294685990326</v>
      </c>
      <c r="L69" s="132">
        <f t="shared" si="8"/>
        <v>-3.5</v>
      </c>
      <c r="M69" s="6">
        <f t="shared" si="9"/>
        <v>19.470297029702984</v>
      </c>
      <c r="N69" s="6">
        <f t="shared" si="10"/>
        <v>11.125884016973135</v>
      </c>
      <c r="O69" s="6">
        <f t="shared" si="2"/>
        <v>8.344413012729849</v>
      </c>
      <c r="P69" s="263">
        <v>0.8228091555619197</v>
      </c>
      <c r="Q69" s="262">
        <v>1114.947217120517</v>
      </c>
      <c r="R69" s="263">
        <v>11.729981908795263</v>
      </c>
      <c r="S69" s="132">
        <f t="shared" si="11"/>
        <v>0.9185229987272873</v>
      </c>
      <c r="T69" s="141">
        <f t="shared" si="25"/>
        <v>87.25968487909229</v>
      </c>
      <c r="U69" s="144">
        <f t="shared" si="3"/>
        <v>43.47826086956522</v>
      </c>
      <c r="V69" s="6">
        <f>Q69*T69/100</f>
        <v>972.8994282275721</v>
      </c>
      <c r="W69" s="6">
        <f t="shared" si="12"/>
        <v>941.202217120517</v>
      </c>
      <c r="X69" s="6">
        <f t="shared" si="13"/>
        <v>21.64765099377189</v>
      </c>
      <c r="Y69" s="293">
        <f t="shared" si="5"/>
        <v>1</v>
      </c>
      <c r="Z69" s="296">
        <f t="shared" si="14"/>
        <v>0.3975447888185503</v>
      </c>
      <c r="AA69" s="61"/>
      <c r="AB69" s="57"/>
      <c r="AC69" s="57"/>
      <c r="AD69" s="57"/>
      <c r="AE69" s="57"/>
    </row>
    <row r="70" spans="1:31" ht="15.75" customHeight="1">
      <c r="A70" s="57"/>
      <c r="B70" s="63">
        <v>9</v>
      </c>
      <c r="C70" s="78">
        <f t="shared" si="23"/>
        <v>-0.8999999999999999</v>
      </c>
      <c r="D70" s="102">
        <f t="shared" si="24"/>
        <v>-0.7905</v>
      </c>
      <c r="E70" s="76">
        <f t="shared" si="22"/>
        <v>-1.395</v>
      </c>
      <c r="F70" s="5"/>
      <c r="G70" s="5" t="s">
        <v>103</v>
      </c>
      <c r="H70" s="72"/>
      <c r="I70" s="57"/>
      <c r="J70" s="130">
        <f t="shared" si="15"/>
        <v>0.20940594059405956</v>
      </c>
      <c r="K70" s="131">
        <f t="shared" si="7"/>
        <v>13.213947990543723</v>
      </c>
      <c r="L70" s="132">
        <f t="shared" si="8"/>
        <v>-3.5</v>
      </c>
      <c r="M70" s="6">
        <f t="shared" si="9"/>
        <v>19.893564356435657</v>
      </c>
      <c r="N70" s="6">
        <f t="shared" si="10"/>
        <v>11.367751060820376</v>
      </c>
      <c r="O70" s="6">
        <f t="shared" si="2"/>
        <v>8.525813295615281</v>
      </c>
      <c r="P70" s="263">
        <v>0.8233438059154708</v>
      </c>
      <c r="Q70" s="262">
        <v>1136.1756726700912</v>
      </c>
      <c r="R70" s="263">
        <v>11.993973080991989</v>
      </c>
      <c r="S70" s="132">
        <f t="shared" si="11"/>
        <v>0.9168464076269087</v>
      </c>
      <c r="T70" s="141">
        <f t="shared" si="25"/>
        <v>87.10040872455633</v>
      </c>
      <c r="U70" s="144">
        <f t="shared" si="3"/>
        <v>43.47826086956522</v>
      </c>
      <c r="V70" s="6">
        <f>Q70*T70/100</f>
        <v>989.6136547246267</v>
      </c>
      <c r="W70" s="6">
        <f t="shared" si="12"/>
        <v>962.4306726700912</v>
      </c>
      <c r="X70" s="6">
        <f t="shared" si="13"/>
        <v>22.135905471412098</v>
      </c>
      <c r="Y70" s="293">
        <f t="shared" si="5"/>
        <v>1</v>
      </c>
      <c r="Z70" s="296">
        <f t="shared" si="14"/>
        <v>0.3970928051859201</v>
      </c>
      <c r="AA70" s="61"/>
      <c r="AB70" s="57"/>
      <c r="AC70" s="57"/>
      <c r="AD70" s="57"/>
      <c r="AE70" s="57"/>
    </row>
    <row r="71" spans="1:31" ht="15.75" customHeight="1">
      <c r="A71" s="57"/>
      <c r="B71" s="63">
        <v>10</v>
      </c>
      <c r="C71" s="78">
        <f t="shared" si="23"/>
        <v>-0.9999999999999999</v>
      </c>
      <c r="D71" s="102">
        <f t="shared" si="24"/>
        <v>-0.85</v>
      </c>
      <c r="E71" s="76">
        <f t="shared" si="22"/>
        <v>-1.5</v>
      </c>
      <c r="F71" s="5"/>
      <c r="G71" s="74" t="s">
        <v>104</v>
      </c>
      <c r="H71" s="75" t="s">
        <v>105</v>
      </c>
      <c r="I71" s="57"/>
      <c r="J71" s="130">
        <f t="shared" si="15"/>
        <v>0.21386138613861402</v>
      </c>
      <c r="K71" s="131">
        <f t="shared" si="7"/>
        <v>12.865740740740728</v>
      </c>
      <c r="L71" s="132">
        <f t="shared" si="8"/>
        <v>-3.5</v>
      </c>
      <c r="M71" s="6">
        <f t="shared" si="9"/>
        <v>20.31683168316833</v>
      </c>
      <c r="N71" s="6">
        <f t="shared" si="10"/>
        <v>11.60961810466762</v>
      </c>
      <c r="O71" s="6">
        <f t="shared" si="2"/>
        <v>8.707213578500712</v>
      </c>
      <c r="P71" s="263">
        <v>0.8238827918076584</v>
      </c>
      <c r="Q71" s="262">
        <v>1157.2771796592458</v>
      </c>
      <c r="R71" s="263">
        <v>12.258391209600799</v>
      </c>
      <c r="S71" s="132">
        <f t="shared" si="11"/>
        <v>0.9151743108045524</v>
      </c>
      <c r="T71" s="141">
        <f t="shared" si="25"/>
        <v>86.94155952643247</v>
      </c>
      <c r="U71" s="144">
        <f t="shared" si="3"/>
        <v>43.47826086956522</v>
      </c>
      <c r="V71" s="6">
        <f t="shared" si="4"/>
        <v>1006.154828039262</v>
      </c>
      <c r="W71" s="6">
        <f t="shared" si="12"/>
        <v>983.5321796592458</v>
      </c>
      <c r="X71" s="6">
        <f t="shared" si="13"/>
        <v>22.621240132162654</v>
      </c>
      <c r="Y71" s="293">
        <f t="shared" si="5"/>
        <v>1</v>
      </c>
      <c r="Z71" s="296">
        <f t="shared" si="14"/>
        <v>0.3966386392935284</v>
      </c>
      <c r="AA71" s="61"/>
      <c r="AB71" s="57"/>
      <c r="AC71" s="57"/>
      <c r="AD71" s="57"/>
      <c r="AE71" s="57"/>
    </row>
    <row r="72" spans="1:31" ht="15.75" customHeight="1">
      <c r="A72" s="57"/>
      <c r="B72" s="63">
        <v>11</v>
      </c>
      <c r="C72" s="78">
        <f t="shared" si="23"/>
        <v>-1.0999999999999999</v>
      </c>
      <c r="D72" s="102">
        <f t="shared" si="24"/>
        <v>-0.9038333333333332</v>
      </c>
      <c r="E72" s="76">
        <f t="shared" si="22"/>
        <v>-1.5949999999999998</v>
      </c>
      <c r="F72" s="5"/>
      <c r="G72" s="78">
        <v>0</v>
      </c>
      <c r="H72" s="86">
        <v>0</v>
      </c>
      <c r="I72" s="57"/>
      <c r="J72" s="130">
        <f t="shared" si="15"/>
        <v>0.21831683168316848</v>
      </c>
      <c r="K72" s="131">
        <f t="shared" si="7"/>
        <v>12.53174603174602</v>
      </c>
      <c r="L72" s="132">
        <f t="shared" si="8"/>
        <v>-3.5</v>
      </c>
      <c r="M72" s="6">
        <f t="shared" si="9"/>
        <v>20.740099009901005</v>
      </c>
      <c r="N72" s="6">
        <f t="shared" si="10"/>
        <v>11.851485148514861</v>
      </c>
      <c r="O72" s="6">
        <f t="shared" si="2"/>
        <v>8.888613861386144</v>
      </c>
      <c r="P72" s="263">
        <v>0.8244241923547531</v>
      </c>
      <c r="Q72" s="262">
        <v>1178.2490008236005</v>
      </c>
      <c r="R72" s="263">
        <v>12.523240596436402</v>
      </c>
      <c r="S72" s="132">
        <f t="shared" si="11"/>
        <v>0.913506753542478</v>
      </c>
      <c r="T72" s="141">
        <f t="shared" si="25"/>
        <v>86.78314158653541</v>
      </c>
      <c r="U72" s="144">
        <f t="shared" si="3"/>
        <v>43.47826086956522</v>
      </c>
      <c r="V72" s="6">
        <f t="shared" si="4"/>
        <v>1022.5214986266839</v>
      </c>
      <c r="W72" s="6">
        <f t="shared" si="12"/>
        <v>1004.5040008236004</v>
      </c>
      <c r="X72" s="6">
        <f t="shared" si="13"/>
        <v>23.10359201894281</v>
      </c>
      <c r="Y72" s="293">
        <f t="shared" si="5"/>
        <v>1</v>
      </c>
      <c r="Z72" s="296">
        <f t="shared" si="14"/>
        <v>0.39618221733377457</v>
      </c>
      <c r="AA72" s="61"/>
      <c r="AB72" s="57"/>
      <c r="AC72" s="57"/>
      <c r="AD72" s="57"/>
      <c r="AE72" s="57"/>
    </row>
    <row r="73" spans="1:31" ht="15.75" customHeight="1">
      <c r="A73" s="57"/>
      <c r="B73" s="63">
        <v>12</v>
      </c>
      <c r="C73" s="78">
        <f t="shared" si="23"/>
        <v>-1.2</v>
      </c>
      <c r="D73" s="102">
        <f t="shared" si="24"/>
        <v>-0.952</v>
      </c>
      <c r="E73" s="76">
        <f t="shared" si="22"/>
        <v>-1.6800000000000002</v>
      </c>
      <c r="F73" s="5"/>
      <c r="G73" s="78">
        <f>G15</f>
        <v>0.0025</v>
      </c>
      <c r="H73" s="86">
        <f>C15</f>
        <v>50</v>
      </c>
      <c r="I73" s="57"/>
      <c r="J73" s="130">
        <f t="shared" si="15"/>
        <v>0.22277227722772294</v>
      </c>
      <c r="K73" s="131">
        <f t="shared" si="7"/>
        <v>12.211111111111098</v>
      </c>
      <c r="L73" s="132">
        <f t="shared" si="8"/>
        <v>-3.5</v>
      </c>
      <c r="M73" s="6">
        <f t="shared" si="9"/>
        <v>21.16336633663368</v>
      </c>
      <c r="N73" s="6">
        <f t="shared" si="10"/>
        <v>12.093352192362103</v>
      </c>
      <c r="O73" s="6">
        <f t="shared" si="2"/>
        <v>9.070014144271576</v>
      </c>
      <c r="P73" s="263">
        <v>0.8249709397953293</v>
      </c>
      <c r="Q73" s="262">
        <v>1199.095260992511</v>
      </c>
      <c r="R73" s="263">
        <v>12.788522841071188</v>
      </c>
      <c r="S73" s="132">
        <f t="shared" si="11"/>
        <v>0.9118437526782894</v>
      </c>
      <c r="T73" s="141">
        <f t="shared" si="25"/>
        <v>86.6251565044375</v>
      </c>
      <c r="U73" s="144">
        <f t="shared" si="3"/>
        <v>43.47826086956522</v>
      </c>
      <c r="V73" s="6">
        <f t="shared" si="4"/>
        <v>1038.7181464720559</v>
      </c>
      <c r="W73" s="6">
        <f t="shared" si="12"/>
        <v>1025.3502609925108</v>
      </c>
      <c r="X73" s="6">
        <f t="shared" si="13"/>
        <v>23.58305600282775</v>
      </c>
      <c r="Y73" s="293">
        <f t="shared" si="5"/>
        <v>1</v>
      </c>
      <c r="Z73" s="296">
        <f t="shared" si="14"/>
        <v>0.3957235990885665</v>
      </c>
      <c r="AA73" s="61"/>
      <c r="AB73" s="57"/>
      <c r="AC73" s="57"/>
      <c r="AD73" s="57"/>
      <c r="AE73" s="57"/>
    </row>
    <row r="74" spans="1:31" ht="15.75" customHeight="1">
      <c r="A74" s="57"/>
      <c r="B74" s="63">
        <v>13</v>
      </c>
      <c r="C74" s="78">
        <f t="shared" si="23"/>
        <v>-1.3</v>
      </c>
      <c r="D74" s="102">
        <f t="shared" si="24"/>
        <v>-0.9945</v>
      </c>
      <c r="E74" s="76">
        <f t="shared" si="22"/>
        <v>-1.7550000000000001</v>
      </c>
      <c r="F74" s="5"/>
      <c r="G74" s="78">
        <f>H13</f>
        <v>0.025</v>
      </c>
      <c r="H74" s="86">
        <f>D15</f>
        <v>52.5</v>
      </c>
      <c r="I74" s="57"/>
      <c r="J74" s="130">
        <f t="shared" si="15"/>
        <v>0.2272277227722774</v>
      </c>
      <c r="K74" s="131">
        <f t="shared" si="7"/>
        <v>11.903050108932451</v>
      </c>
      <c r="L74" s="132">
        <f t="shared" si="8"/>
        <v>-3.5</v>
      </c>
      <c r="M74" s="6">
        <f t="shared" si="9"/>
        <v>21.586633663366353</v>
      </c>
      <c r="N74" s="6">
        <f t="shared" si="10"/>
        <v>12.335219236209344</v>
      </c>
      <c r="O74" s="6">
        <f t="shared" si="2"/>
        <v>9.251414427157009</v>
      </c>
      <c r="P74" s="263">
        <v>0.8392285639245777</v>
      </c>
      <c r="Q74" s="262">
        <v>1219.8187176643735</v>
      </c>
      <c r="R74" s="263">
        <v>13.054167355049405</v>
      </c>
      <c r="S74" s="132">
        <f t="shared" si="11"/>
        <v>0.910184565175611</v>
      </c>
      <c r="T74" s="141">
        <f t="shared" si="25"/>
        <v>86.46753369168304</v>
      </c>
      <c r="U74" s="144">
        <f t="shared" si="3"/>
        <v>43.47826086956522</v>
      </c>
      <c r="V74" s="6">
        <f t="shared" si="4"/>
        <v>1054.7471606738982</v>
      </c>
      <c r="W74" s="6">
        <f t="shared" si="12"/>
        <v>1046.0737176643734</v>
      </c>
      <c r="X74" s="6">
        <f t="shared" si="13"/>
        <v>24.059695506280587</v>
      </c>
      <c r="Y74" s="293">
        <f t="shared" si="5"/>
        <v>1</v>
      </c>
      <c r="Z74" s="296">
        <f t="shared" si="14"/>
        <v>0.3952661837587484</v>
      </c>
      <c r="AA74" s="61"/>
      <c r="AB74" s="57"/>
      <c r="AC74" s="57"/>
      <c r="AD74" s="57"/>
      <c r="AE74" s="57"/>
    </row>
    <row r="75" spans="1:31" ht="15.75" customHeight="1">
      <c r="A75" s="57"/>
      <c r="B75" s="63">
        <v>14</v>
      </c>
      <c r="C75" s="78">
        <f t="shared" si="23"/>
        <v>-1.4000000000000001</v>
      </c>
      <c r="D75" s="102">
        <f t="shared" si="24"/>
        <v>-1.0313333333333334</v>
      </c>
      <c r="E75" s="76">
        <f t="shared" si="22"/>
        <v>-1.8199999999999998</v>
      </c>
      <c r="F75" s="5"/>
      <c r="G75" s="76"/>
      <c r="H75" s="79"/>
      <c r="I75" s="57"/>
      <c r="J75" s="130">
        <f t="shared" si="15"/>
        <v>0.23168316831683186</v>
      </c>
      <c r="K75" s="131">
        <f t="shared" si="7"/>
        <v>11.606837606837594</v>
      </c>
      <c r="L75" s="132">
        <f t="shared" si="8"/>
        <v>-3.5</v>
      </c>
      <c r="M75" s="6">
        <f t="shared" si="9"/>
        <v>22.009900990099027</v>
      </c>
      <c r="N75" s="6">
        <f t="shared" si="10"/>
        <v>12.577086280056589</v>
      </c>
      <c r="O75" s="6">
        <f t="shared" si="2"/>
        <v>9.432814710042438</v>
      </c>
      <c r="P75" s="263">
        <v>0.8394702869741492</v>
      </c>
      <c r="Q75" s="262">
        <v>1240.4248851480666</v>
      </c>
      <c r="R75" s="263">
        <v>13.320157182594723</v>
      </c>
      <c r="S75" s="132">
        <f t="shared" si="11"/>
        <v>0.9085290125525863</v>
      </c>
      <c r="T75" s="141">
        <f t="shared" si="25"/>
        <v>86.3102561924957</v>
      </c>
      <c r="U75" s="144">
        <f t="shared" si="3"/>
        <v>43.47826086956522</v>
      </c>
      <c r="V75" s="6">
        <f t="shared" si="4"/>
        <v>1070.613896246767</v>
      </c>
      <c r="W75" s="6">
        <f t="shared" si="12"/>
        <v>1066.6798851480667</v>
      </c>
      <c r="X75" s="6">
        <f t="shared" si="13"/>
        <v>24.53363735840553</v>
      </c>
      <c r="Y75" s="293">
        <f t="shared" si="5"/>
        <v>1</v>
      </c>
      <c r="Z75" s="296">
        <f t="shared" si="14"/>
        <v>0.3948106723157598</v>
      </c>
      <c r="AA75" s="61"/>
      <c r="AB75" s="57"/>
      <c r="AC75" s="57"/>
      <c r="AD75" s="57"/>
      <c r="AE75" s="57"/>
    </row>
    <row r="76" spans="1:31" ht="15.75" customHeight="1">
      <c r="A76" s="57"/>
      <c r="B76" s="63">
        <v>15</v>
      </c>
      <c r="C76" s="78">
        <f t="shared" si="23"/>
        <v>-1.5000000000000002</v>
      </c>
      <c r="D76" s="102">
        <f t="shared" si="24"/>
        <v>-1.0625</v>
      </c>
      <c r="E76" s="76">
        <f t="shared" si="22"/>
        <v>-1.875</v>
      </c>
      <c r="F76" s="5"/>
      <c r="G76" s="5" t="s">
        <v>106</v>
      </c>
      <c r="H76" s="72"/>
      <c r="I76" s="57"/>
      <c r="J76" s="130">
        <f t="shared" si="15"/>
        <v>0.23613861386138632</v>
      </c>
      <c r="K76" s="131">
        <f t="shared" si="7"/>
        <v>11.32180293501047</v>
      </c>
      <c r="L76" s="132">
        <f t="shared" si="8"/>
        <v>-3.5</v>
      </c>
      <c r="M76" s="6">
        <f t="shared" si="9"/>
        <v>22.4331683168317</v>
      </c>
      <c r="N76" s="6">
        <f t="shared" si="10"/>
        <v>12.81895332390383</v>
      </c>
      <c r="O76" s="6">
        <f t="shared" si="2"/>
        <v>9.61421499292787</v>
      </c>
      <c r="P76" s="263">
        <v>0.8397263861152969</v>
      </c>
      <c r="Q76" s="262">
        <v>1260.9015676786116</v>
      </c>
      <c r="R76" s="263">
        <v>13.586600502064488</v>
      </c>
      <c r="S76" s="132">
        <f t="shared" si="11"/>
        <v>0.9068782335287662</v>
      </c>
      <c r="T76" s="141">
        <f t="shared" si="25"/>
        <v>86.15343218523279</v>
      </c>
      <c r="U76" s="144">
        <f t="shared" si="3"/>
        <v>43.47826086956522</v>
      </c>
      <c r="V76" s="6">
        <f t="shared" si="4"/>
        <v>1086.3099770325298</v>
      </c>
      <c r="W76" s="6">
        <f t="shared" si="12"/>
        <v>1087.1565676786117</v>
      </c>
      <c r="X76" s="6">
        <f t="shared" si="13"/>
        <v>25.00460105660807</v>
      </c>
      <c r="Y76" s="293">
        <f t="shared" si="5"/>
        <v>1</v>
      </c>
      <c r="Z76" s="296">
        <f t="shared" si="14"/>
        <v>0.3943521347419123</v>
      </c>
      <c r="AA76" s="61"/>
      <c r="AB76" s="57"/>
      <c r="AC76" s="57"/>
      <c r="AD76" s="57"/>
      <c r="AE76" s="57"/>
    </row>
    <row r="77" spans="1:31" ht="15.75" customHeight="1">
      <c r="A77" s="57"/>
      <c r="B77" s="63">
        <v>16</v>
      </c>
      <c r="C77" s="78">
        <f t="shared" si="23"/>
        <v>-1.6000000000000003</v>
      </c>
      <c r="D77" s="102">
        <f t="shared" si="24"/>
        <v>-1.088</v>
      </c>
      <c r="E77" s="76">
        <f t="shared" si="22"/>
        <v>-1.9200000000000004</v>
      </c>
      <c r="F77" s="5"/>
      <c r="G77" s="74" t="s">
        <v>104</v>
      </c>
      <c r="H77" s="75" t="s">
        <v>105</v>
      </c>
      <c r="I77" s="57"/>
      <c r="J77" s="130">
        <f t="shared" si="15"/>
        <v>0.24059405940594078</v>
      </c>
      <c r="K77" s="131">
        <f t="shared" si="7"/>
        <v>11.047325102880647</v>
      </c>
      <c r="L77" s="132">
        <f t="shared" si="8"/>
        <v>-3.5</v>
      </c>
      <c r="M77" s="6">
        <f t="shared" si="9"/>
        <v>22.856435643564375</v>
      </c>
      <c r="N77" s="6">
        <f t="shared" si="10"/>
        <v>13.060820367751072</v>
      </c>
      <c r="O77" s="6">
        <f t="shared" si="2"/>
        <v>9.795615275813303</v>
      </c>
      <c r="P77" s="263">
        <v>0.8399967549307168</v>
      </c>
      <c r="Q77" s="262">
        <v>1281.2494862864114</v>
      </c>
      <c r="R77" s="263">
        <v>13.853499523163059</v>
      </c>
      <c r="S77" s="132">
        <f t="shared" si="11"/>
        <v>0.9052322513641968</v>
      </c>
      <c r="T77" s="141">
        <f t="shared" si="25"/>
        <v>85.9970638795987</v>
      </c>
      <c r="U77" s="144">
        <f t="shared" si="3"/>
        <v>43.47826086956522</v>
      </c>
      <c r="V77" s="6">
        <f t="shared" si="4"/>
        <v>1101.8369391787555</v>
      </c>
      <c r="W77" s="6">
        <f t="shared" si="12"/>
        <v>1107.5044862864115</v>
      </c>
      <c r="X77" s="6">
        <f t="shared" si="13"/>
        <v>25.472603184587463</v>
      </c>
      <c r="Y77" s="293">
        <f aca="true" t="shared" si="26" ref="Y77:Y123">IF(V77-$K$12&gt;0,1,0)</f>
        <v>1</v>
      </c>
      <c r="Z77" s="296">
        <f t="shared" si="14"/>
        <v>0.39389064247802996</v>
      </c>
      <c r="AA77" s="61"/>
      <c r="AB77" s="57"/>
      <c r="AC77" s="57"/>
      <c r="AD77" s="57"/>
      <c r="AE77" s="57"/>
    </row>
    <row r="78" spans="1:31" ht="15.75" customHeight="1">
      <c r="A78" s="57"/>
      <c r="B78" s="63">
        <v>17</v>
      </c>
      <c r="C78" s="78">
        <f t="shared" si="23"/>
        <v>-1.7000000000000004</v>
      </c>
      <c r="D78" s="102">
        <f t="shared" si="24"/>
        <v>-1.1078333333333334</v>
      </c>
      <c r="E78" s="76">
        <f t="shared" si="22"/>
        <v>-1.955</v>
      </c>
      <c r="F78" s="5"/>
      <c r="G78" s="78">
        <v>0</v>
      </c>
      <c r="H78" s="86">
        <v>0</v>
      </c>
      <c r="I78" s="57"/>
      <c r="J78" s="130">
        <f t="shared" si="15"/>
        <v>0.24504950495049524</v>
      </c>
      <c r="K78" s="131">
        <f t="shared" si="7"/>
        <v>10.782828282828271</v>
      </c>
      <c r="L78" s="132">
        <f t="shared" si="8"/>
        <v>-3.5</v>
      </c>
      <c r="M78" s="6">
        <f t="shared" si="9"/>
        <v>23.27970297029705</v>
      </c>
      <c r="N78" s="6">
        <f t="shared" si="10"/>
        <v>13.302687411598313</v>
      </c>
      <c r="O78" s="6">
        <f t="shared" si="2"/>
        <v>9.977015558698735</v>
      </c>
      <c r="P78" s="263">
        <v>0.8402815802210536</v>
      </c>
      <c r="Q78" s="262">
        <v>1301.4697894127466</v>
      </c>
      <c r="R78" s="263">
        <v>14.12085746202698</v>
      </c>
      <c r="S78" s="132">
        <f t="shared" si="11"/>
        <v>0.9035910999129466</v>
      </c>
      <c r="T78" s="141">
        <f t="shared" si="25"/>
        <v>85.84115449172992</v>
      </c>
      <c r="U78" s="144">
        <f t="shared" si="3"/>
        <v>43.47826086956522</v>
      </c>
      <c r="V78" s="6">
        <f t="shared" si="4"/>
        <v>1117.196692592988</v>
      </c>
      <c r="W78" s="6">
        <f t="shared" si="12"/>
        <v>1127.7247894127468</v>
      </c>
      <c r="X78" s="6">
        <f t="shared" si="13"/>
        <v>25.937670156493176</v>
      </c>
      <c r="Y78" s="293">
        <f t="shared" si="26"/>
        <v>1</v>
      </c>
      <c r="Z78" s="296">
        <f t="shared" si="14"/>
        <v>0.39342621853706594</v>
      </c>
      <c r="AA78" s="61"/>
      <c r="AB78" s="57"/>
      <c r="AC78" s="57"/>
      <c r="AD78" s="57"/>
      <c r="AE78" s="57"/>
    </row>
    <row r="79" spans="1:31" ht="15.75" customHeight="1">
      <c r="A79" s="57"/>
      <c r="B79" s="63">
        <v>18</v>
      </c>
      <c r="C79" s="78">
        <f t="shared" si="23"/>
        <v>-1.8000000000000005</v>
      </c>
      <c r="D79" s="102">
        <f t="shared" si="24"/>
        <v>-1.122</v>
      </c>
      <c r="E79" s="76">
        <f t="shared" si="22"/>
        <v>-1.98</v>
      </c>
      <c r="F79" s="5"/>
      <c r="G79" s="78">
        <f>H15</f>
        <v>0.002173913043478261</v>
      </c>
      <c r="H79" s="86">
        <f>E15</f>
        <v>43.47826086956522</v>
      </c>
      <c r="I79" s="57"/>
      <c r="J79" s="130">
        <f t="shared" si="15"/>
        <v>0.2495049504950497</v>
      </c>
      <c r="K79" s="131">
        <f t="shared" si="7"/>
        <v>10.527777777777766</v>
      </c>
      <c r="L79" s="132">
        <f t="shared" si="8"/>
        <v>-3.5</v>
      </c>
      <c r="M79" s="6">
        <f t="shared" si="9"/>
        <v>23.702970297029722</v>
      </c>
      <c r="N79" s="6">
        <f t="shared" si="10"/>
        <v>13.544554455445557</v>
      </c>
      <c r="O79" s="6">
        <f t="shared" si="2"/>
        <v>10.158415841584166</v>
      </c>
      <c r="P79" s="263">
        <v>0.8405787150024087</v>
      </c>
      <c r="Q79" s="262">
        <v>1321.5599571735743</v>
      </c>
      <c r="R79" s="263">
        <v>14.388678883036071</v>
      </c>
      <c r="S79" s="132">
        <f t="shared" si="11"/>
        <v>0.9019548272211194</v>
      </c>
      <c r="T79" s="141">
        <f t="shared" si="25"/>
        <v>85.68570858600634</v>
      </c>
      <c r="U79" s="144">
        <f t="shared" si="3"/>
        <v>43.47826086956522</v>
      </c>
      <c r="V79" s="6">
        <f t="shared" si="4"/>
        <v>1132.388013693099</v>
      </c>
      <c r="W79" s="6">
        <f t="shared" si="12"/>
        <v>1147.8149571735744</v>
      </c>
      <c r="X79" s="6">
        <f t="shared" si="13"/>
        <v>26.39974401499221</v>
      </c>
      <c r="Y79" s="293">
        <f t="shared" si="26"/>
        <v>1</v>
      </c>
      <c r="Z79" s="296">
        <f t="shared" si="14"/>
        <v>0.3929588274074177</v>
      </c>
      <c r="AA79" s="61"/>
      <c r="AB79" s="57"/>
      <c r="AC79" s="57"/>
      <c r="AD79" s="57"/>
      <c r="AE79" s="57"/>
    </row>
    <row r="80" spans="1:31" ht="15.75" customHeight="1">
      <c r="A80" s="57"/>
      <c r="B80" s="63">
        <v>19</v>
      </c>
      <c r="C80" s="78">
        <f t="shared" si="23"/>
        <v>-1.9000000000000006</v>
      </c>
      <c r="D80" s="102">
        <f t="shared" si="24"/>
        <v>-1.1305</v>
      </c>
      <c r="E80" s="76">
        <f t="shared" si="22"/>
        <v>-1.9950000000000003</v>
      </c>
      <c r="F80" s="5"/>
      <c r="G80" s="78">
        <f>H13</f>
        <v>0.025</v>
      </c>
      <c r="H80" s="86">
        <f>F15</f>
        <v>43.47826086956522</v>
      </c>
      <c r="I80" s="57"/>
      <c r="J80" s="130">
        <f t="shared" si="15"/>
        <v>0.25396039603960413</v>
      </c>
      <c r="K80" s="131">
        <f t="shared" si="7"/>
        <v>10.28167641325535</v>
      </c>
      <c r="L80" s="132">
        <f t="shared" si="8"/>
        <v>-3.5</v>
      </c>
      <c r="M80" s="6">
        <f t="shared" si="9"/>
        <v>24.126237623762393</v>
      </c>
      <c r="N80" s="6">
        <f t="shared" si="10"/>
        <v>13.786421499292796</v>
      </c>
      <c r="O80" s="6">
        <f t="shared" si="2"/>
        <v>10.339816124469596</v>
      </c>
      <c r="P80" s="263">
        <v>0.8408898372414128</v>
      </c>
      <c r="Q80" s="262">
        <v>1341.5233561651999</v>
      </c>
      <c r="R80" s="263">
        <v>14.656965287414053</v>
      </c>
      <c r="S80" s="132">
        <f t="shared" si="11"/>
        <v>0.9003234490910701</v>
      </c>
      <c r="T80" s="141">
        <f t="shared" si="25"/>
        <v>85.53072766365166</v>
      </c>
      <c r="U80" s="144">
        <f t="shared" si="3"/>
        <v>43.47826086956522</v>
      </c>
      <c r="V80" s="6">
        <f t="shared" si="4"/>
        <v>1147.4146883059368</v>
      </c>
      <c r="W80" s="6">
        <f t="shared" si="12"/>
        <v>1167.7783561652</v>
      </c>
      <c r="X80" s="6">
        <f t="shared" si="13"/>
        <v>26.858902191799597</v>
      </c>
      <c r="Y80" s="293">
        <f t="shared" si="26"/>
        <v>1</v>
      </c>
      <c r="Z80" s="296">
        <f t="shared" si="14"/>
        <v>0.39248856303321294</v>
      </c>
      <c r="AA80" s="61"/>
      <c r="AB80" s="57"/>
      <c r="AC80" s="57"/>
      <c r="AD80" s="57"/>
      <c r="AE80" s="57"/>
    </row>
    <row r="81" spans="1:31" ht="15.75" customHeight="1">
      <c r="A81" s="57"/>
      <c r="B81" s="91">
        <v>20</v>
      </c>
      <c r="C81" s="78">
        <f t="shared" si="23"/>
        <v>-2.0000000000000004</v>
      </c>
      <c r="D81" s="76">
        <f>-$G$58</f>
        <v>-1.1333333333333333</v>
      </c>
      <c r="E81" s="76">
        <f>-$C$58/10</f>
        <v>-2</v>
      </c>
      <c r="F81" s="5"/>
      <c r="G81" s="5"/>
      <c r="H81" s="72"/>
      <c r="I81" s="57"/>
      <c r="J81" s="130">
        <f t="shared" si="15"/>
        <v>0.2584158415841586</v>
      </c>
      <c r="K81" s="131">
        <f t="shared" si="7"/>
        <v>10.044061302681982</v>
      </c>
      <c r="L81" s="132">
        <f t="shared" si="8"/>
        <v>-3.5</v>
      </c>
      <c r="M81" s="6">
        <f t="shared" si="9"/>
        <v>24.549504950495066</v>
      </c>
      <c r="N81" s="6">
        <f t="shared" si="10"/>
        <v>14.02828854314004</v>
      </c>
      <c r="O81" s="6">
        <f t="shared" si="2"/>
        <v>10.521216407355027</v>
      </c>
      <c r="P81" s="263">
        <v>0.8412124498857322</v>
      </c>
      <c r="Q81" s="262">
        <v>1361.3567362649824</v>
      </c>
      <c r="R81" s="263">
        <v>14.925722353202183</v>
      </c>
      <c r="S81" s="132">
        <f t="shared" si="11"/>
        <v>0.8986970252916539</v>
      </c>
      <c r="T81" s="141">
        <f t="shared" si="25"/>
        <v>85.37621740270711</v>
      </c>
      <c r="U81" s="144">
        <f t="shared" si="3"/>
        <v>43.47826086956522</v>
      </c>
      <c r="V81" s="6">
        <f t="shared" si="4"/>
        <v>1162.2748867799894</v>
      </c>
      <c r="W81" s="6">
        <f t="shared" si="12"/>
        <v>1187.6117362649825</v>
      </c>
      <c r="X81" s="6">
        <f t="shared" si="13"/>
        <v>27.315069934094595</v>
      </c>
      <c r="Y81" s="293">
        <f t="shared" si="26"/>
        <v>1</v>
      </c>
      <c r="Z81" s="296">
        <f t="shared" si="14"/>
        <v>0.39201534274110933</v>
      </c>
      <c r="AA81" s="61"/>
      <c r="AB81" s="57"/>
      <c r="AC81" s="57"/>
      <c r="AD81" s="57"/>
      <c r="AE81" s="57"/>
    </row>
    <row r="82" spans="1:31" ht="15.75" customHeight="1">
      <c r="A82" s="57"/>
      <c r="B82" s="63">
        <v>21</v>
      </c>
      <c r="C82" s="78">
        <f>C81+($E$58-$D$58)/15</f>
        <v>-2.1000000000000005</v>
      </c>
      <c r="D82" s="76">
        <f aca="true" t="shared" si="27" ref="D82:D96">-$G$58</f>
        <v>-1.1333333333333333</v>
      </c>
      <c r="E82" s="76">
        <f aca="true" t="shared" si="28" ref="E82:E96">-$C$58/10</f>
        <v>-2</v>
      </c>
      <c r="F82" s="5"/>
      <c r="G82" s="5" t="s">
        <v>107</v>
      </c>
      <c r="H82" s="72"/>
      <c r="I82" s="57"/>
      <c r="J82" s="130">
        <f t="shared" si="15"/>
        <v>0.26287128712871305</v>
      </c>
      <c r="K82" s="131">
        <f t="shared" si="7"/>
        <v>9.814500941619576</v>
      </c>
      <c r="L82" s="132">
        <f t="shared" si="8"/>
        <v>-3.5</v>
      </c>
      <c r="M82" s="6">
        <f t="shared" si="9"/>
        <v>24.97277227722774</v>
      </c>
      <c r="N82" s="6">
        <f t="shared" si="10"/>
        <v>14.270155586987281</v>
      </c>
      <c r="O82" s="6">
        <f t="shared" si="2"/>
        <v>10.70261669024046</v>
      </c>
      <c r="P82" s="263">
        <v>0.8415478434986786</v>
      </c>
      <c r="Q82" s="262">
        <v>1381.062819489132</v>
      </c>
      <c r="R82" s="263">
        <v>15.194951595658239</v>
      </c>
      <c r="S82" s="132">
        <f t="shared" si="11"/>
        <v>0.8970755717729527</v>
      </c>
      <c r="T82" s="141">
        <f t="shared" si="25"/>
        <v>85.2221793184305</v>
      </c>
      <c r="U82" s="144">
        <f t="shared" si="3"/>
        <v>43.47826086956522</v>
      </c>
      <c r="V82" s="6">
        <f t="shared" si="4"/>
        <v>1176.9718325252002</v>
      </c>
      <c r="W82" s="6">
        <f t="shared" si="12"/>
        <v>1207.317819489132</v>
      </c>
      <c r="X82" s="6">
        <f t="shared" si="13"/>
        <v>27.768309848250038</v>
      </c>
      <c r="Y82" s="293">
        <f t="shared" si="26"/>
        <v>1</v>
      </c>
      <c r="Z82" s="296">
        <f t="shared" si="14"/>
        <v>0.3915392561556225</v>
      </c>
      <c r="AA82" s="61"/>
      <c r="AB82" s="57"/>
      <c r="AC82" s="57"/>
      <c r="AD82" s="57"/>
      <c r="AE82" s="57"/>
    </row>
    <row r="83" spans="1:31" ht="15.75" customHeight="1">
      <c r="A83" s="57"/>
      <c r="B83" s="63">
        <v>22</v>
      </c>
      <c r="C83" s="78">
        <f aca="true" t="shared" si="29" ref="C83:C96">C82+($E$58-$D$58)/15</f>
        <v>-2.2000000000000006</v>
      </c>
      <c r="D83" s="76">
        <f t="shared" si="27"/>
        <v>-1.1333333333333333</v>
      </c>
      <c r="E83" s="76">
        <f t="shared" si="28"/>
        <v>-2</v>
      </c>
      <c r="F83" s="5"/>
      <c r="G83" s="74" t="s">
        <v>104</v>
      </c>
      <c r="H83" s="75" t="s">
        <v>105</v>
      </c>
      <c r="I83" s="57"/>
      <c r="J83" s="130">
        <f t="shared" si="15"/>
        <v>0.2673267326732675</v>
      </c>
      <c r="K83" s="131">
        <f t="shared" si="7"/>
        <v>9.592592592592583</v>
      </c>
      <c r="L83" s="132">
        <f t="shared" si="8"/>
        <v>-3.5</v>
      </c>
      <c r="M83" s="6">
        <f t="shared" si="9"/>
        <v>25.396039603960414</v>
      </c>
      <c r="N83" s="6">
        <f t="shared" si="10"/>
        <v>14.512022630834522</v>
      </c>
      <c r="O83" s="6">
        <f t="shared" si="2"/>
        <v>10.884016973125892</v>
      </c>
      <c r="P83" s="263">
        <v>0.8418947279830199</v>
      </c>
      <c r="Q83" s="262">
        <v>1400.6401376613514</v>
      </c>
      <c r="R83" s="263">
        <v>15.46465802349741</v>
      </c>
      <c r="S83" s="132">
        <f t="shared" si="11"/>
        <v>0.8954591412582841</v>
      </c>
      <c r="T83" s="141">
        <f t="shared" si="25"/>
        <v>85.06861841953699</v>
      </c>
      <c r="U83" s="144">
        <f t="shared" si="3"/>
        <v>43.47826086956522</v>
      </c>
      <c r="V83" s="6">
        <f t="shared" si="4"/>
        <v>1191.5052141380127</v>
      </c>
      <c r="W83" s="6">
        <f t="shared" si="12"/>
        <v>1226.8951376613513</v>
      </c>
      <c r="X83" s="6">
        <f t="shared" si="13"/>
        <v>28.21858816621108</v>
      </c>
      <c r="Y83" s="293">
        <f t="shared" si="26"/>
        <v>1</v>
      </c>
      <c r="Z83" s="296">
        <f t="shared" si="14"/>
        <v>0.39106024936715894</v>
      </c>
      <c r="AA83" s="61"/>
      <c r="AB83" s="57"/>
      <c r="AC83" s="57"/>
      <c r="AD83" s="57"/>
      <c r="AE83" s="57"/>
    </row>
    <row r="84" spans="1:31" ht="15.75" customHeight="1">
      <c r="A84" s="57"/>
      <c r="B84" s="63">
        <v>23</v>
      </c>
      <c r="C84" s="78">
        <f t="shared" si="29"/>
        <v>-2.3000000000000007</v>
      </c>
      <c r="D84" s="76">
        <f t="shared" si="27"/>
        <v>-1.1333333333333333</v>
      </c>
      <c r="E84" s="76">
        <f t="shared" si="28"/>
        <v>-2</v>
      </c>
      <c r="F84" s="5"/>
      <c r="G84" s="78">
        <f>H15</f>
        <v>0.002173913043478261</v>
      </c>
      <c r="H84" s="86">
        <v>0</v>
      </c>
      <c r="I84" s="57"/>
      <c r="J84" s="130">
        <f t="shared" si="15"/>
        <v>0.27178217821782197</v>
      </c>
      <c r="K84" s="131">
        <f t="shared" si="7"/>
        <v>9.377959927140244</v>
      </c>
      <c r="L84" s="132">
        <f t="shared" si="8"/>
        <v>-3.5</v>
      </c>
      <c r="M84" s="6">
        <f t="shared" si="9"/>
        <v>25.819306930693088</v>
      </c>
      <c r="N84" s="6">
        <f t="shared" si="10"/>
        <v>14.753889674681766</v>
      </c>
      <c r="O84" s="6">
        <f t="shared" si="2"/>
        <v>11.065417256011322</v>
      </c>
      <c r="P84" s="263">
        <v>0.8422527221890643</v>
      </c>
      <c r="Q84" s="262">
        <v>1420.088624774094</v>
      </c>
      <c r="R84" s="263">
        <v>15.734844934760762</v>
      </c>
      <c r="S84" s="132">
        <f t="shared" si="11"/>
        <v>0.8938477684638703</v>
      </c>
      <c r="T84" s="141">
        <f t="shared" si="25"/>
        <v>84.91553800406767</v>
      </c>
      <c r="U84" s="144">
        <f>IF(K84&lt;$H$15*1000,K84/$H$15/1000*$E$15,$E$15+($F$15-$E$15)/($H$13-$H$15)*(K84/1000-$H$15))</f>
        <v>43.47826086956522</v>
      </c>
      <c r="V84" s="6">
        <f t="shared" si="4"/>
        <v>1205.8758958614876</v>
      </c>
      <c r="W84" s="6">
        <f t="shared" si="12"/>
        <v>1246.3436247740938</v>
      </c>
      <c r="X84" s="6">
        <f t="shared" si="13"/>
        <v>28.665903369804155</v>
      </c>
      <c r="Y84" s="293">
        <f t="shared" si="26"/>
        <v>1</v>
      </c>
      <c r="Z84" s="296">
        <f t="shared" si="14"/>
        <v>0.3905783382567977</v>
      </c>
      <c r="AA84" s="61"/>
      <c r="AB84" s="57"/>
      <c r="AC84" s="57"/>
      <c r="AD84" s="57"/>
      <c r="AE84" s="57"/>
    </row>
    <row r="85" spans="1:31" ht="15.75" customHeight="1">
      <c r="A85" s="57"/>
      <c r="B85" s="63">
        <v>24</v>
      </c>
      <c r="C85" s="78">
        <f t="shared" si="29"/>
        <v>-2.400000000000001</v>
      </c>
      <c r="D85" s="76">
        <f t="shared" si="27"/>
        <v>-1.1333333333333333</v>
      </c>
      <c r="E85" s="76">
        <f t="shared" si="28"/>
        <v>-2</v>
      </c>
      <c r="F85" s="5"/>
      <c r="G85" s="78">
        <f>H15</f>
        <v>0.002173913043478261</v>
      </c>
      <c r="H85" s="86">
        <f>E15</f>
        <v>43.47826086956522</v>
      </c>
      <c r="I85" s="57"/>
      <c r="J85" s="130">
        <f t="shared" si="15"/>
        <v>0.2762376237623764</v>
      </c>
      <c r="K85" s="131">
        <f t="shared" si="7"/>
        <v>9.17025089605734</v>
      </c>
      <c r="L85" s="132">
        <f t="shared" si="8"/>
        <v>-3.5</v>
      </c>
      <c r="M85" s="6">
        <f t="shared" si="9"/>
        <v>26.242574257425762</v>
      </c>
      <c r="N85" s="6">
        <f t="shared" si="10"/>
        <v>14.995756718529005</v>
      </c>
      <c r="O85" s="6">
        <f t="shared" si="2"/>
        <v>11.246817538896757</v>
      </c>
      <c r="P85" s="263">
        <v>0.8426223498615527</v>
      </c>
      <c r="Q85" s="262">
        <v>1439.4097134132326</v>
      </c>
      <c r="R85" s="263">
        <v>16.005515464511838</v>
      </c>
      <c r="S85" s="132">
        <f t="shared" si="11"/>
        <v>0.8922414863903797</v>
      </c>
      <c r="T85" s="141">
        <f t="shared" si="25"/>
        <v>84.76294120708607</v>
      </c>
      <c r="U85" s="144">
        <f>IF(K85&lt;$H$15*1000,K85/$H$15/1000*$E$15,$E$15+($F$15-$E$15)/($H$13-$H$15)*(K85/1000-$H$15))</f>
        <v>43.47826086956522</v>
      </c>
      <c r="V85" s="6">
        <f>Q85*T85/100</f>
        <v>1220.0860091095444</v>
      </c>
      <c r="W85" s="6">
        <f t="shared" si="12"/>
        <v>1265.6647134132327</v>
      </c>
      <c r="X85" s="6">
        <f t="shared" si="13"/>
        <v>29.11028840850435</v>
      </c>
      <c r="Y85" s="293">
        <f t="shared" si="26"/>
        <v>1</v>
      </c>
      <c r="Z85" s="296">
        <f t="shared" si="14"/>
        <v>0.39009354389145656</v>
      </c>
      <c r="AA85" s="61"/>
      <c r="AB85" s="57"/>
      <c r="AC85" s="57"/>
      <c r="AD85" s="57"/>
      <c r="AE85" s="57"/>
    </row>
    <row r="86" spans="1:31" ht="15.75" customHeight="1">
      <c r="A86" s="57"/>
      <c r="B86" s="63">
        <v>25</v>
      </c>
      <c r="C86" s="78">
        <f t="shared" si="29"/>
        <v>-2.500000000000001</v>
      </c>
      <c r="D86" s="76">
        <f t="shared" si="27"/>
        <v>-1.1333333333333333</v>
      </c>
      <c r="E86" s="76">
        <f t="shared" si="28"/>
        <v>-2</v>
      </c>
      <c r="F86" s="5"/>
      <c r="G86" s="78"/>
      <c r="H86" s="86"/>
      <c r="I86" s="57"/>
      <c r="J86" s="130">
        <f t="shared" si="15"/>
        <v>0.2806930693069309</v>
      </c>
      <c r="K86" s="131">
        <f t="shared" si="7"/>
        <v>8.969135802469127</v>
      </c>
      <c r="L86" s="132">
        <f t="shared" si="8"/>
        <v>-3.5</v>
      </c>
      <c r="M86" s="6">
        <f t="shared" si="9"/>
        <v>26.665841584158436</v>
      </c>
      <c r="N86" s="6">
        <f t="shared" si="10"/>
        <v>15.237623762376245</v>
      </c>
      <c r="O86" s="6">
        <f t="shared" si="2"/>
        <v>11.42821782178219</v>
      </c>
      <c r="P86" s="263">
        <v>0.8430019754969967</v>
      </c>
      <c r="Q86" s="262">
        <v>1458.601133296567</v>
      </c>
      <c r="R86" s="263">
        <v>16.27667476799337</v>
      </c>
      <c r="S86" s="132">
        <f t="shared" si="11"/>
        <v>0.8906403493035255</v>
      </c>
      <c r="T86" s="141">
        <f t="shared" si="25"/>
        <v>84.61083318383493</v>
      </c>
      <c r="U86" s="144">
        <f>IF(K86&lt;$H$15*1000,K86/$H$15/1000*$E$15,$E$15+($F$15-$E$15)/($H$13-$H$15)*(K86/1000-$H$15))</f>
        <v>43.47826086956522</v>
      </c>
      <c r="V86" s="6">
        <f>Q86*T86/100</f>
        <v>1234.134571711084</v>
      </c>
      <c r="W86" s="6">
        <f t="shared" si="12"/>
        <v>1284.856133296567</v>
      </c>
      <c r="X86" s="6">
        <f t="shared" si="13"/>
        <v>29.55169106582104</v>
      </c>
      <c r="Y86" s="293">
        <f t="shared" si="26"/>
        <v>1</v>
      </c>
      <c r="Z86" s="296">
        <f t="shared" si="14"/>
        <v>0.38960581024140756</v>
      </c>
      <c r="AA86" s="61"/>
      <c r="AB86" s="57"/>
      <c r="AC86" s="57"/>
      <c r="AD86" s="57"/>
      <c r="AE86" s="57"/>
    </row>
    <row r="87" spans="1:31" ht="15.75" customHeight="1">
      <c r="A87" s="57"/>
      <c r="B87" s="63">
        <v>26</v>
      </c>
      <c r="C87" s="78">
        <f t="shared" si="29"/>
        <v>-2.600000000000001</v>
      </c>
      <c r="D87" s="76">
        <f t="shared" si="27"/>
        <v>-1.1333333333333333</v>
      </c>
      <c r="E87" s="76">
        <f t="shared" si="28"/>
        <v>-2</v>
      </c>
      <c r="F87" s="5"/>
      <c r="G87" s="78">
        <f>G15</f>
        <v>0.0025</v>
      </c>
      <c r="H87" s="86">
        <v>0</v>
      </c>
      <c r="I87" s="57"/>
      <c r="J87" s="130">
        <f t="shared" si="15"/>
        <v>0.28514851485148535</v>
      </c>
      <c r="K87" s="131">
        <f t="shared" si="7"/>
        <v>8.774305555555546</v>
      </c>
      <c r="L87" s="132">
        <f t="shared" si="8"/>
        <v>-3.5</v>
      </c>
      <c r="M87" s="6">
        <f t="shared" si="9"/>
        <v>27.08910891089111</v>
      </c>
      <c r="N87" s="6">
        <f t="shared" si="10"/>
        <v>15.47949080622349</v>
      </c>
      <c r="O87" s="6">
        <f aca="true" t="shared" si="30" ref="O87:O123">IF(M87&gt;N87,M87-N87,0)</f>
        <v>11.60961810466762</v>
      </c>
      <c r="P87" s="263">
        <v>0.8433928891883463</v>
      </c>
      <c r="Q87" s="262">
        <v>1477.6655837702642</v>
      </c>
      <c r="R87" s="263">
        <v>16.548324846470006</v>
      </c>
      <c r="S87" s="132">
        <f t="shared" si="11"/>
        <v>0.8890443782692515</v>
      </c>
      <c r="T87" s="141">
        <f t="shared" si="25"/>
        <v>84.4592159355789</v>
      </c>
      <c r="U87" s="144">
        <f aca="true" t="shared" si="31" ref="U87:U124">IF(K87&lt;$H$15*1000,K87/$H$15/1000*$E$15,$E$15+($F$15-$E$15)/($H$13-$H$15)*(K87/1000-$H$15))</f>
        <v>43.47826086956522</v>
      </c>
      <c r="V87" s="6">
        <f>Q87*T87/100</f>
        <v>1248.02476620226</v>
      </c>
      <c r="W87" s="6">
        <f t="shared" si="12"/>
        <v>1303.9205837702643</v>
      </c>
      <c r="X87" s="6">
        <f t="shared" si="13"/>
        <v>29.99017342671608</v>
      </c>
      <c r="Y87" s="293">
        <f t="shared" si="26"/>
        <v>1</v>
      </c>
      <c r="Z87" s="296">
        <f t="shared" si="14"/>
        <v>0.3891152012085273</v>
      </c>
      <c r="AA87" s="61"/>
      <c r="AB87" s="57"/>
      <c r="AC87" s="57"/>
      <c r="AD87" s="57"/>
      <c r="AE87" s="57"/>
    </row>
    <row r="88" spans="1:31" ht="15.75" customHeight="1">
      <c r="A88" s="57"/>
      <c r="B88" s="63">
        <v>27</v>
      </c>
      <c r="C88" s="78">
        <f t="shared" si="29"/>
        <v>-2.700000000000001</v>
      </c>
      <c r="D88" s="76">
        <f t="shared" si="27"/>
        <v>-1.1333333333333333</v>
      </c>
      <c r="E88" s="76">
        <f t="shared" si="28"/>
        <v>-2</v>
      </c>
      <c r="F88" s="5"/>
      <c r="G88" s="78">
        <f>G15</f>
        <v>0.0025</v>
      </c>
      <c r="H88" s="86">
        <f>C15</f>
        <v>50</v>
      </c>
      <c r="I88" s="57"/>
      <c r="J88" s="130">
        <f t="shared" si="15"/>
        <v>0.2896039603960398</v>
      </c>
      <c r="K88" s="131">
        <f aca="true" t="shared" si="32" ref="K88:K124">IF(J88&lt;=(-$E$58/($H$13*1000-$E$58)),$H$13*1000,ABS(L88)*(1-J88)/J88)</f>
        <v>8.585470085470076</v>
      </c>
      <c r="L88" s="132">
        <f aca="true" t="shared" si="33" ref="L88:L124">IF(J88&lt;=(-$E$58/($H$13*1000-$E$58)),-$H$13*1000*J88/(1-J88),$E$58)</f>
        <v>-3.5</v>
      </c>
      <c r="M88" s="6">
        <f aca="true" t="shared" si="34" ref="M88:M124">J88*$M$4</f>
        <v>27.51237623762378</v>
      </c>
      <c r="N88" s="6">
        <f aca="true" t="shared" si="35" ref="N88:N123">-$D$58/K88*($M$4-M88)</f>
        <v>15.721357850070733</v>
      </c>
      <c r="O88" s="6">
        <f t="shared" si="30"/>
        <v>11.791018387553047</v>
      </c>
      <c r="P88" s="263">
        <v>0.8437934352545476</v>
      </c>
      <c r="Q88" s="262">
        <v>1496.6006392693366</v>
      </c>
      <c r="R88" s="263">
        <v>16.820471462912778</v>
      </c>
      <c r="S88" s="132">
        <f aca="true" t="shared" si="36" ref="S88:S124">T88/$M$4</f>
        <v>0.8874536339504104</v>
      </c>
      <c r="T88" s="141">
        <f t="shared" si="25"/>
        <v>84.308095225289</v>
      </c>
      <c r="U88" s="144">
        <f t="shared" si="31"/>
        <v>43.47826086956522</v>
      </c>
      <c r="V88" s="6">
        <f>Q88*T88/100</f>
        <v>1261.755492097476</v>
      </c>
      <c r="W88" s="6">
        <f aca="true" t="shared" si="37" ref="W88:W124">$K$10+Q88</f>
        <v>1322.8556392693367</v>
      </c>
      <c r="X88" s="6">
        <f aca="true" t="shared" si="38" ref="X88:X124">W88/U88</f>
        <v>30.425679703194746</v>
      </c>
      <c r="Y88" s="293">
        <f t="shared" si="26"/>
        <v>1</v>
      </c>
      <c r="Z88" s="296">
        <f aca="true" t="shared" si="39" ref="Z88:Z123">-(R88-M88)/M88</f>
        <v>0.38862164003447974</v>
      </c>
      <c r="AA88" s="61"/>
      <c r="AB88" s="57"/>
      <c r="AC88" s="57"/>
      <c r="AD88" s="57"/>
      <c r="AE88" s="57"/>
    </row>
    <row r="89" spans="1:31" ht="15.75" customHeight="1">
      <c r="A89" s="57"/>
      <c r="B89" s="63">
        <v>28</v>
      </c>
      <c r="C89" s="78">
        <f t="shared" si="29"/>
        <v>-2.800000000000001</v>
      </c>
      <c r="D89" s="76">
        <f t="shared" si="27"/>
        <v>-1.1333333333333333</v>
      </c>
      <c r="E89" s="76">
        <f t="shared" si="28"/>
        <v>-2</v>
      </c>
      <c r="F89" s="5"/>
      <c r="G89" s="78"/>
      <c r="H89" s="86"/>
      <c r="I89" s="57"/>
      <c r="J89" s="130">
        <f aca="true" t="shared" si="40" ref="J89:J124">J88+$J$21</f>
        <v>0.29405940594059427</v>
      </c>
      <c r="K89" s="131">
        <f t="shared" si="32"/>
        <v>8.402356902356892</v>
      </c>
      <c r="L89" s="132">
        <f t="shared" si="33"/>
        <v>-3.5</v>
      </c>
      <c r="M89" s="6">
        <f t="shared" si="34"/>
        <v>27.935643564356454</v>
      </c>
      <c r="N89" s="6">
        <f t="shared" si="35"/>
        <v>15.963224893917978</v>
      </c>
      <c r="O89" s="6">
        <f t="shared" si="30"/>
        <v>11.972418670438476</v>
      </c>
      <c r="P89" s="263">
        <v>0.844204410942429</v>
      </c>
      <c r="Q89" s="262">
        <v>1515.4081224614536</v>
      </c>
      <c r="R89" s="263">
        <v>17.09311700710302</v>
      </c>
      <c r="S89" s="132">
        <f t="shared" si="36"/>
        <v>0.8858681415025954</v>
      </c>
      <c r="T89" s="141">
        <f t="shared" si="25"/>
        <v>84.15747344274656</v>
      </c>
      <c r="U89" s="144">
        <f t="shared" si="31"/>
        <v>43.47826086956522</v>
      </c>
      <c r="V89" s="6">
        <f aca="true" t="shared" si="41" ref="V89:V124">Q89*T89/100</f>
        <v>1275.3291882097221</v>
      </c>
      <c r="W89" s="6">
        <f t="shared" si="37"/>
        <v>1341.6631224614534</v>
      </c>
      <c r="X89" s="6">
        <f t="shared" si="38"/>
        <v>30.85825181661343</v>
      </c>
      <c r="Y89" s="293">
        <f t="shared" si="26"/>
        <v>1</v>
      </c>
      <c r="Z89" s="296">
        <f t="shared" si="39"/>
        <v>0.38812517536154384</v>
      </c>
      <c r="AA89" s="61"/>
      <c r="AB89" s="57"/>
      <c r="AC89" s="57"/>
      <c r="AD89" s="57"/>
      <c r="AE89" s="57"/>
    </row>
    <row r="90" spans="1:31" ht="15.75" customHeight="1">
      <c r="A90" s="57"/>
      <c r="B90" s="63">
        <v>29</v>
      </c>
      <c r="C90" s="78">
        <f t="shared" si="29"/>
        <v>-2.9000000000000012</v>
      </c>
      <c r="D90" s="76">
        <f t="shared" si="27"/>
        <v>-1.1333333333333333</v>
      </c>
      <c r="E90" s="76">
        <f t="shared" si="28"/>
        <v>-2</v>
      </c>
      <c r="F90" s="5"/>
      <c r="G90" s="78">
        <f>H13</f>
        <v>0.025</v>
      </c>
      <c r="H90" s="86">
        <v>0</v>
      </c>
      <c r="I90" s="57"/>
      <c r="J90" s="130">
        <f t="shared" si="40"/>
        <v>0.2985148514851487</v>
      </c>
      <c r="K90" s="131">
        <f t="shared" si="32"/>
        <v>8.224709784411269</v>
      </c>
      <c r="L90" s="132">
        <f t="shared" si="33"/>
        <v>-3.5</v>
      </c>
      <c r="M90" s="6">
        <f t="shared" si="34"/>
        <v>28.358910891089128</v>
      </c>
      <c r="N90" s="6">
        <f t="shared" si="35"/>
        <v>16.205091937765218</v>
      </c>
      <c r="O90" s="6">
        <f t="shared" si="30"/>
        <v>12.15381895332391</v>
      </c>
      <c r="P90" s="263">
        <v>0.8446251684383208</v>
      </c>
      <c r="Q90" s="262">
        <v>1534.0872878334442</v>
      </c>
      <c r="R90" s="263">
        <v>17.366266358555098</v>
      </c>
      <c r="S90" s="132">
        <f t="shared" si="36"/>
        <v>0.8842879522891155</v>
      </c>
      <c r="T90" s="141">
        <f t="shared" si="25"/>
        <v>84.00735546746597</v>
      </c>
      <c r="U90" s="144">
        <f t="shared" si="31"/>
        <v>43.47826086956522</v>
      </c>
      <c r="V90" s="6">
        <f t="shared" si="41"/>
        <v>1288.7461610714493</v>
      </c>
      <c r="W90" s="6">
        <f t="shared" si="37"/>
        <v>1360.342287833444</v>
      </c>
      <c r="X90" s="6">
        <f t="shared" si="38"/>
        <v>31.287872620169214</v>
      </c>
      <c r="Y90" s="293">
        <f t="shared" si="26"/>
        <v>1</v>
      </c>
      <c r="Z90" s="296">
        <f t="shared" si="39"/>
        <v>0.3876257651343061</v>
      </c>
      <c r="AA90" s="61"/>
      <c r="AB90" s="57"/>
      <c r="AC90" s="57"/>
      <c r="AD90" s="57"/>
      <c r="AE90" s="57"/>
    </row>
    <row r="91" spans="1:31" ht="15.75" customHeight="1">
      <c r="A91" s="57"/>
      <c r="B91" s="63">
        <v>30</v>
      </c>
      <c r="C91" s="78">
        <f t="shared" si="29"/>
        <v>-3.0000000000000013</v>
      </c>
      <c r="D91" s="76">
        <f t="shared" si="27"/>
        <v>-1.1333333333333333</v>
      </c>
      <c r="E91" s="76">
        <f t="shared" si="28"/>
        <v>-2</v>
      </c>
      <c r="F91" s="5"/>
      <c r="G91" s="78">
        <f>H13</f>
        <v>0.025</v>
      </c>
      <c r="H91" s="86">
        <f>F15</f>
        <v>43.47826086956522</v>
      </c>
      <c r="I91" s="57"/>
      <c r="J91" s="130">
        <f t="shared" si="40"/>
        <v>0.3029702970297032</v>
      </c>
      <c r="K91" s="131">
        <f t="shared" si="32"/>
        <v>8.052287581699337</v>
      </c>
      <c r="L91" s="132">
        <f t="shared" si="33"/>
        <v>-3.5</v>
      </c>
      <c r="M91" s="6">
        <f t="shared" si="34"/>
        <v>28.7821782178218</v>
      </c>
      <c r="N91" s="6">
        <f t="shared" si="35"/>
        <v>16.44695898161246</v>
      </c>
      <c r="O91" s="6">
        <f t="shared" si="30"/>
        <v>12.33521923620934</v>
      </c>
      <c r="P91" s="263">
        <v>0.8450552300326792</v>
      </c>
      <c r="Q91" s="262">
        <v>1552.6376357933493</v>
      </c>
      <c r="R91" s="263">
        <v>17.63992366435168</v>
      </c>
      <c r="S91" s="132">
        <f t="shared" si="36"/>
        <v>0.8827131099634724</v>
      </c>
      <c r="T91" s="141">
        <f t="shared" si="25"/>
        <v>83.85774544652988</v>
      </c>
      <c r="U91" s="144">
        <f t="shared" si="31"/>
        <v>43.47826086956522</v>
      </c>
      <c r="V91" s="6">
        <f t="shared" si="41"/>
        <v>1302.0069163306064</v>
      </c>
      <c r="W91" s="6">
        <f t="shared" si="37"/>
        <v>1378.8926357933492</v>
      </c>
      <c r="X91" s="6">
        <f t="shared" si="38"/>
        <v>31.71453062324703</v>
      </c>
      <c r="Y91" s="293">
        <f t="shared" si="26"/>
        <v>1</v>
      </c>
      <c r="Z91" s="296">
        <f t="shared" si="39"/>
        <v>0.38712339521860384</v>
      </c>
      <c r="AA91" s="61"/>
      <c r="AB91" s="57"/>
      <c r="AC91" s="57"/>
      <c r="AD91" s="57"/>
      <c r="AE91" s="57"/>
    </row>
    <row r="92" spans="1:31" ht="15.75" customHeight="1">
      <c r="A92" s="57"/>
      <c r="B92" s="63">
        <v>31</v>
      </c>
      <c r="C92" s="78">
        <f t="shared" si="29"/>
        <v>-3.1000000000000014</v>
      </c>
      <c r="D92" s="76">
        <f t="shared" si="27"/>
        <v>-1.1333333333333333</v>
      </c>
      <c r="E92" s="76">
        <f t="shared" si="28"/>
        <v>-2</v>
      </c>
      <c r="F92" s="5"/>
      <c r="G92" s="78">
        <f>H13</f>
        <v>0.025</v>
      </c>
      <c r="H92" s="86">
        <f>D15</f>
        <v>52.5</v>
      </c>
      <c r="I92" s="57"/>
      <c r="J92" s="130">
        <f t="shared" si="40"/>
        <v>0.30742574257425764</v>
      </c>
      <c r="K92" s="131">
        <f t="shared" si="32"/>
        <v>7.88486312399355</v>
      </c>
      <c r="L92" s="132">
        <f t="shared" si="33"/>
        <v>-3.5</v>
      </c>
      <c r="M92" s="6">
        <f t="shared" si="34"/>
        <v>29.205445544554475</v>
      </c>
      <c r="N92" s="6">
        <f t="shared" si="35"/>
        <v>16.688826025459704</v>
      </c>
      <c r="O92" s="6">
        <f t="shared" si="30"/>
        <v>12.516619519094771</v>
      </c>
      <c r="P92" s="263">
        <v>0.8454952182595863</v>
      </c>
      <c r="Q92" s="262">
        <v>1571.0606599880107</v>
      </c>
      <c r="R92" s="263">
        <v>17.914092150372664</v>
      </c>
      <c r="S92" s="132">
        <f t="shared" si="36"/>
        <v>0.8811436484822968</v>
      </c>
      <c r="T92" s="141">
        <f t="shared" si="25"/>
        <v>83.70864660581819</v>
      </c>
      <c r="U92" s="144">
        <f t="shared" si="31"/>
        <v>43.47826086956522</v>
      </c>
      <c r="V92" s="6">
        <f t="shared" si="41"/>
        <v>1315.1136158323986</v>
      </c>
      <c r="W92" s="6">
        <f t="shared" si="37"/>
        <v>1397.3156599880108</v>
      </c>
      <c r="X92" s="6">
        <f t="shared" si="38"/>
        <v>32.13826017972425</v>
      </c>
      <c r="Y92" s="293">
        <f t="shared" si="26"/>
        <v>1</v>
      </c>
      <c r="Z92" s="296">
        <f t="shared" si="39"/>
        <v>0.3866180838418043</v>
      </c>
      <c r="AA92" s="61"/>
      <c r="AB92" s="57"/>
      <c r="AC92" s="57"/>
      <c r="AD92" s="57"/>
      <c r="AE92" s="57"/>
    </row>
    <row r="93" spans="1:31" ht="15.75" customHeight="1">
      <c r="A93" s="57"/>
      <c r="B93" s="63">
        <v>32</v>
      </c>
      <c r="C93" s="78">
        <f t="shared" si="29"/>
        <v>-3.2000000000000015</v>
      </c>
      <c r="D93" s="76">
        <f t="shared" si="27"/>
        <v>-1.1333333333333333</v>
      </c>
      <c r="E93" s="76">
        <f t="shared" si="28"/>
        <v>-2</v>
      </c>
      <c r="F93" s="5"/>
      <c r="G93" s="5"/>
      <c r="H93" s="72"/>
      <c r="I93" s="57"/>
      <c r="J93" s="130">
        <f t="shared" si="40"/>
        <v>0.3118811881188121</v>
      </c>
      <c r="K93" s="131">
        <f t="shared" si="32"/>
        <v>7.722222222222214</v>
      </c>
      <c r="L93" s="132">
        <f t="shared" si="33"/>
        <v>-3.5</v>
      </c>
      <c r="M93" s="6">
        <f t="shared" si="34"/>
        <v>29.62871287128715</v>
      </c>
      <c r="N93" s="6">
        <f t="shared" si="35"/>
        <v>16.930693069306944</v>
      </c>
      <c r="O93" s="6">
        <f t="shared" si="30"/>
        <v>12.698019801980205</v>
      </c>
      <c r="P93" s="263">
        <v>0.8459438825876222</v>
      </c>
      <c r="Q93" s="262">
        <v>1589.3543755367175</v>
      </c>
      <c r="R93" s="263">
        <v>18.18877742036748</v>
      </c>
      <c r="S93" s="132">
        <f t="shared" si="36"/>
        <v>0.8795796268324244</v>
      </c>
      <c r="T93" s="141">
        <f t="shared" si="25"/>
        <v>83.56006454908032</v>
      </c>
      <c r="U93" s="144">
        <f t="shared" si="31"/>
        <v>43.47826086956522</v>
      </c>
      <c r="V93" s="6">
        <f t="shared" si="41"/>
        <v>1328.0655421121137</v>
      </c>
      <c r="W93" s="6">
        <f t="shared" si="37"/>
        <v>1415.6093755367174</v>
      </c>
      <c r="X93" s="6">
        <f t="shared" si="38"/>
        <v>32.5590156373445</v>
      </c>
      <c r="Y93" s="293">
        <f t="shared" si="26"/>
        <v>1</v>
      </c>
      <c r="Z93" s="296">
        <f t="shared" si="39"/>
        <v>0.3861097679341306</v>
      </c>
      <c r="AA93" s="61"/>
      <c r="AB93" s="57"/>
      <c r="AC93" s="57"/>
      <c r="AD93" s="57"/>
      <c r="AE93" s="57"/>
    </row>
    <row r="94" spans="1:31" ht="15.75" customHeight="1">
      <c r="A94" s="57"/>
      <c r="B94" s="63">
        <v>33</v>
      </c>
      <c r="C94" s="78">
        <f t="shared" si="29"/>
        <v>-3.3000000000000016</v>
      </c>
      <c r="D94" s="76">
        <f t="shared" si="27"/>
        <v>-1.1333333333333333</v>
      </c>
      <c r="E94" s="76">
        <f t="shared" si="28"/>
        <v>-2</v>
      </c>
      <c r="F94" s="5"/>
      <c r="G94" s="5"/>
      <c r="H94" s="72"/>
      <c r="I94" s="57"/>
      <c r="J94" s="130">
        <f t="shared" si="40"/>
        <v>0.31633663366336656</v>
      </c>
      <c r="K94" s="131">
        <f t="shared" si="32"/>
        <v>7.564162754303592</v>
      </c>
      <c r="L94" s="132">
        <f t="shared" si="33"/>
        <v>-3.5</v>
      </c>
      <c r="M94" s="6">
        <f t="shared" si="34"/>
        <v>30.051980198019823</v>
      </c>
      <c r="N94" s="6">
        <f t="shared" si="35"/>
        <v>17.172560113154187</v>
      </c>
      <c r="O94" s="6">
        <f t="shared" si="30"/>
        <v>12.879420084865636</v>
      </c>
      <c r="P94" s="263">
        <v>0.8464022105422953</v>
      </c>
      <c r="Q94" s="262">
        <v>1607.5209343503489</v>
      </c>
      <c r="R94" s="263">
        <v>18.46398201126321</v>
      </c>
      <c r="S94" s="132">
        <f t="shared" si="36"/>
        <v>0.8780210717183515</v>
      </c>
      <c r="T94" s="141">
        <f t="shared" si="25"/>
        <v>83.41200181324339</v>
      </c>
      <c r="U94" s="144">
        <f t="shared" si="31"/>
        <v>43.47826086956522</v>
      </c>
      <c r="V94" s="6">
        <f t="shared" si="41"/>
        <v>1340.8653909085801</v>
      </c>
      <c r="W94" s="6">
        <f t="shared" si="37"/>
        <v>1433.775934350349</v>
      </c>
      <c r="X94" s="6">
        <f t="shared" si="38"/>
        <v>32.97684649005802</v>
      </c>
      <c r="Y94" s="293">
        <f t="shared" si="26"/>
        <v>1</v>
      </c>
      <c r="Z94" s="296">
        <f t="shared" si="39"/>
        <v>0.3855984900296243</v>
      </c>
      <c r="AA94" s="61"/>
      <c r="AB94" s="57"/>
      <c r="AC94" s="57"/>
      <c r="AD94" s="57"/>
      <c r="AE94" s="57"/>
    </row>
    <row r="95" spans="1:31" ht="15.75" customHeight="1">
      <c r="A95" s="57"/>
      <c r="B95" s="63">
        <v>34</v>
      </c>
      <c r="C95" s="78">
        <f t="shared" si="29"/>
        <v>-3.4000000000000017</v>
      </c>
      <c r="D95" s="76">
        <f t="shared" si="27"/>
        <v>-1.1333333333333333</v>
      </c>
      <c r="E95" s="76">
        <f t="shared" si="28"/>
        <v>-2</v>
      </c>
      <c r="F95" s="5"/>
      <c r="G95" s="5"/>
      <c r="H95" s="72"/>
      <c r="I95" s="57"/>
      <c r="J95" s="130">
        <f t="shared" si="40"/>
        <v>0.320792079207921</v>
      </c>
      <c r="K95" s="131">
        <f t="shared" si="32"/>
        <v>7.410493827160486</v>
      </c>
      <c r="L95" s="132">
        <f t="shared" si="33"/>
        <v>-3.5</v>
      </c>
      <c r="M95" s="6">
        <f t="shared" si="34"/>
        <v>30.475247524752497</v>
      </c>
      <c r="N95" s="6">
        <f t="shared" si="35"/>
        <v>17.41442715700143</v>
      </c>
      <c r="O95" s="6">
        <f t="shared" si="30"/>
        <v>13.060820367751067</v>
      </c>
      <c r="P95" s="263">
        <v>0.8468691010179246</v>
      </c>
      <c r="Q95" s="262">
        <v>1625.5585491380082</v>
      </c>
      <c r="R95" s="263">
        <v>18.739711767585764</v>
      </c>
      <c r="S95" s="132">
        <f t="shared" si="36"/>
        <v>0.8764680446614028</v>
      </c>
      <c r="T95" s="141">
        <f t="shared" si="25"/>
        <v>83.26446424283327</v>
      </c>
      <c r="U95" s="144">
        <f t="shared" si="31"/>
        <v>43.47826086956522</v>
      </c>
      <c r="V95" s="6">
        <f t="shared" si="41"/>
        <v>1353.5126168933361</v>
      </c>
      <c r="W95" s="6">
        <f t="shared" si="37"/>
        <v>1451.813549138008</v>
      </c>
      <c r="X95" s="6">
        <f t="shared" si="38"/>
        <v>33.391711630174186</v>
      </c>
      <c r="Y95" s="293">
        <f t="shared" si="26"/>
        <v>1</v>
      </c>
      <c r="Z95" s="296">
        <f t="shared" si="39"/>
        <v>0.38508418176537984</v>
      </c>
      <c r="AA95" s="61"/>
      <c r="AB95" s="57"/>
      <c r="AC95" s="57"/>
      <c r="AD95" s="57"/>
      <c r="AE95" s="57"/>
    </row>
    <row r="96" spans="1:31" ht="15.75" customHeight="1" thickBot="1">
      <c r="A96" s="57"/>
      <c r="B96" s="104">
        <v>35</v>
      </c>
      <c r="C96" s="83">
        <f t="shared" si="29"/>
        <v>-3.5000000000000018</v>
      </c>
      <c r="D96" s="95">
        <f t="shared" si="27"/>
        <v>-1.1333333333333333</v>
      </c>
      <c r="E96" s="95">
        <f t="shared" si="28"/>
        <v>-2</v>
      </c>
      <c r="F96" s="82"/>
      <c r="G96" s="82"/>
      <c r="H96" s="66"/>
      <c r="I96" s="57"/>
      <c r="J96" s="130">
        <f t="shared" si="40"/>
        <v>0.3252475247524755</v>
      </c>
      <c r="K96" s="131">
        <f t="shared" si="32"/>
        <v>7.261035007610341</v>
      </c>
      <c r="L96" s="132">
        <f t="shared" si="33"/>
        <v>-3.5</v>
      </c>
      <c r="M96" s="6">
        <f t="shared" si="34"/>
        <v>30.89851485148517</v>
      </c>
      <c r="N96" s="6">
        <f t="shared" si="35"/>
        <v>17.65629420084867</v>
      </c>
      <c r="O96" s="6">
        <f t="shared" si="30"/>
        <v>13.2422206506365</v>
      </c>
      <c r="P96" s="263">
        <v>0.8473450218819495</v>
      </c>
      <c r="Q96" s="262">
        <v>1643.4683761291437</v>
      </c>
      <c r="R96" s="263">
        <v>19.015969893741364</v>
      </c>
      <c r="S96" s="132">
        <f t="shared" si="36"/>
        <v>0.8749205793921704</v>
      </c>
      <c r="T96" s="141">
        <f t="shared" si="25"/>
        <v>83.11745504225618</v>
      </c>
      <c r="U96" s="144">
        <f t="shared" si="31"/>
        <v>43.47826086956522</v>
      </c>
      <c r="V96" s="6">
        <f t="shared" si="41"/>
        <v>1366.0090886628388</v>
      </c>
      <c r="W96" s="6">
        <f t="shared" si="37"/>
        <v>1469.7233761291436</v>
      </c>
      <c r="X96" s="6">
        <f t="shared" si="38"/>
        <v>33.8036376509703</v>
      </c>
      <c r="Y96" s="293">
        <f t="shared" si="26"/>
        <v>1</v>
      </c>
      <c r="Z96" s="296">
        <f t="shared" si="39"/>
        <v>0.3845668639692778</v>
      </c>
      <c r="AA96" s="61"/>
      <c r="AB96" s="57"/>
      <c r="AC96" s="57"/>
      <c r="AD96" s="57"/>
      <c r="AE96" s="57"/>
    </row>
    <row r="97" spans="1:31" ht="15.75" customHeight="1" thickBot="1">
      <c r="A97" s="57"/>
      <c r="B97" s="57"/>
      <c r="C97" s="57"/>
      <c r="D97" s="57"/>
      <c r="E97" s="57"/>
      <c r="F97" s="57"/>
      <c r="G97" s="57"/>
      <c r="H97" s="57"/>
      <c r="I97" s="57"/>
      <c r="J97" s="130">
        <f t="shared" si="40"/>
        <v>0.32970297029702994</v>
      </c>
      <c r="K97" s="131">
        <f t="shared" si="32"/>
        <v>7.1156156156156065</v>
      </c>
      <c r="L97" s="132">
        <f t="shared" si="33"/>
        <v>-3.5</v>
      </c>
      <c r="M97" s="6">
        <f t="shared" si="34"/>
        <v>31.321782178217845</v>
      </c>
      <c r="N97" s="6">
        <f t="shared" si="35"/>
        <v>17.898161244695913</v>
      </c>
      <c r="O97" s="6">
        <f t="shared" si="30"/>
        <v>13.423620933521931</v>
      </c>
      <c r="P97" s="263">
        <v>0.8478297128033974</v>
      </c>
      <c r="Q97" s="262">
        <v>1661.2501719296974</v>
      </c>
      <c r="R97" s="263">
        <v>19.292761231841975</v>
      </c>
      <c r="S97" s="132">
        <f t="shared" si="36"/>
        <v>0.8733787268802541</v>
      </c>
      <c r="T97" s="141">
        <f t="shared" si="25"/>
        <v>82.97097905362413</v>
      </c>
      <c r="U97" s="144">
        <f t="shared" si="31"/>
        <v>43.47826086956522</v>
      </c>
      <c r="V97" s="6">
        <f t="shared" si="41"/>
        <v>1378.3555321800843</v>
      </c>
      <c r="W97" s="6">
        <f t="shared" si="37"/>
        <v>1487.5051719296976</v>
      </c>
      <c r="X97" s="6">
        <f t="shared" si="38"/>
        <v>34.21261895438304</v>
      </c>
      <c r="Y97" s="293">
        <f t="shared" si="26"/>
        <v>1</v>
      </c>
      <c r="Z97" s="296">
        <f t="shared" si="39"/>
        <v>0.38404650405688695</v>
      </c>
      <c r="AA97" s="61"/>
      <c r="AB97" s="57"/>
      <c r="AC97" s="57"/>
      <c r="AD97" s="57"/>
      <c r="AE97" s="57"/>
    </row>
    <row r="98" spans="1:31" ht="15.75" customHeight="1">
      <c r="A98" s="57"/>
      <c r="B98" s="22">
        <v>3</v>
      </c>
      <c r="C98" s="70" t="str">
        <f>INDEX(B100:B104,B98)</f>
        <v>0,450  - für Beton C12/15 bis C35/45</v>
      </c>
      <c r="D98" s="70"/>
      <c r="E98" s="70"/>
      <c r="F98" s="70"/>
      <c r="G98" s="70"/>
      <c r="H98" s="108">
        <f>INDEX(H100:H104,B98)</f>
        <v>0.45</v>
      </c>
      <c r="I98" s="57"/>
      <c r="J98" s="130">
        <f t="shared" si="40"/>
        <v>0.3341584158415844</v>
      </c>
      <c r="K98" s="131">
        <f t="shared" si="32"/>
        <v>6.974074074074066</v>
      </c>
      <c r="L98" s="132">
        <f t="shared" si="33"/>
        <v>-3.5</v>
      </c>
      <c r="M98" s="6">
        <f t="shared" si="34"/>
        <v>31.74504950495052</v>
      </c>
      <c r="N98" s="6">
        <f t="shared" si="35"/>
        <v>18.140028288543157</v>
      </c>
      <c r="O98" s="6">
        <f t="shared" si="30"/>
        <v>13.605021216407362</v>
      </c>
      <c r="P98" s="263">
        <v>0.8483226826191411</v>
      </c>
      <c r="Q98" s="262">
        <v>1678.9032053249123</v>
      </c>
      <c r="R98" s="263">
        <v>19.570090644020365</v>
      </c>
      <c r="S98" s="132">
        <f t="shared" si="36"/>
        <v>0.8718425383059984</v>
      </c>
      <c r="T98" s="141">
        <f t="shared" si="25"/>
        <v>82.82504113906985</v>
      </c>
      <c r="U98" s="144">
        <f t="shared" si="31"/>
        <v>43.47826086956522</v>
      </c>
      <c r="V98" s="6">
        <f t="shared" si="41"/>
        <v>1390.552270495521</v>
      </c>
      <c r="W98" s="6">
        <f t="shared" si="37"/>
        <v>1505.1582053249122</v>
      </c>
      <c r="X98" s="6">
        <f t="shared" si="38"/>
        <v>34.61863872247298</v>
      </c>
      <c r="Y98" s="293">
        <f t="shared" si="26"/>
        <v>1</v>
      </c>
      <c r="Z98" s="296">
        <f t="shared" si="39"/>
        <v>0.38352307055093793</v>
      </c>
      <c r="AA98" s="61"/>
      <c r="AB98" s="57"/>
      <c r="AC98" s="57"/>
      <c r="AD98" s="57"/>
      <c r="AE98" s="57"/>
    </row>
    <row r="99" spans="1:31" ht="15.75" customHeight="1">
      <c r="A99" s="57"/>
      <c r="B99" s="88"/>
      <c r="C99" s="74"/>
      <c r="D99" s="74"/>
      <c r="E99" s="74"/>
      <c r="F99" s="74"/>
      <c r="G99" s="45" t="s">
        <v>138</v>
      </c>
      <c r="H99" s="46" t="s">
        <v>118</v>
      </c>
      <c r="I99" s="57"/>
      <c r="J99" s="130">
        <f t="shared" si="40"/>
        <v>0.33861386138613886</v>
      </c>
      <c r="K99" s="131">
        <f t="shared" si="32"/>
        <v>6.836257309941512</v>
      </c>
      <c r="L99" s="132">
        <f t="shared" si="33"/>
        <v>-3.5</v>
      </c>
      <c r="M99" s="6">
        <f t="shared" si="34"/>
        <v>32.16831683168319</v>
      </c>
      <c r="N99" s="6">
        <f t="shared" si="35"/>
        <v>18.381895332390396</v>
      </c>
      <c r="O99" s="6">
        <f t="shared" si="30"/>
        <v>13.786421499292796</v>
      </c>
      <c r="P99" s="263">
        <v>0.8488245507385582</v>
      </c>
      <c r="Q99" s="262">
        <v>1696.4289161854294</v>
      </c>
      <c r="R99" s="263">
        <v>19.847961577391406</v>
      </c>
      <c r="S99" s="132">
        <f t="shared" si="36"/>
        <v>0.8703120499548234</v>
      </c>
      <c r="T99" s="141">
        <f t="shared" si="25"/>
        <v>82.67964474570822</v>
      </c>
      <c r="U99" s="144">
        <f t="shared" si="31"/>
        <v>43.47826086956522</v>
      </c>
      <c r="V99" s="6">
        <f t="shared" si="41"/>
        <v>1402.6014012655814</v>
      </c>
      <c r="W99" s="6">
        <f t="shared" si="37"/>
        <v>1522.6839161854296</v>
      </c>
      <c r="X99" s="6">
        <f t="shared" si="38"/>
        <v>35.02173007226488</v>
      </c>
      <c r="Y99" s="293">
        <f t="shared" si="26"/>
        <v>1</v>
      </c>
      <c r="Z99" s="296">
        <f t="shared" si="39"/>
        <v>0.3829965776187964</v>
      </c>
      <c r="AA99" s="61"/>
      <c r="AB99" s="57"/>
      <c r="AC99" s="57"/>
      <c r="AD99" s="57"/>
      <c r="AE99" s="57"/>
    </row>
    <row r="100" spans="1:31" ht="15.75" customHeight="1">
      <c r="A100" s="57"/>
      <c r="B100" s="63" t="s">
        <v>163</v>
      </c>
      <c r="C100" s="5"/>
      <c r="D100" s="5"/>
      <c r="E100" s="5"/>
      <c r="F100" s="5"/>
      <c r="G100" s="5"/>
      <c r="H100" s="86">
        <v>1</v>
      </c>
      <c r="I100" s="57"/>
      <c r="J100" s="130">
        <f t="shared" si="40"/>
        <v>0.3430693069306933</v>
      </c>
      <c r="K100" s="131">
        <f t="shared" si="32"/>
        <v>6.7020202020201936</v>
      </c>
      <c r="L100" s="132">
        <f t="shared" si="33"/>
        <v>-3.5</v>
      </c>
      <c r="M100" s="6">
        <f t="shared" si="34"/>
        <v>32.59158415841586</v>
      </c>
      <c r="N100" s="6">
        <f t="shared" si="35"/>
        <v>18.623762376237643</v>
      </c>
      <c r="O100" s="6">
        <f t="shared" si="30"/>
        <v>13.96782178217822</v>
      </c>
      <c r="P100" s="263">
        <v>0.8493343617278858</v>
      </c>
      <c r="Q100" s="262">
        <v>1713.8256047414225</v>
      </c>
      <c r="R100" s="263">
        <v>20.126380016396137</v>
      </c>
      <c r="S100" s="132">
        <f t="shared" si="36"/>
        <v>0.868787324820845</v>
      </c>
      <c r="T100" s="141">
        <f t="shared" si="25"/>
        <v>82.53479585798027</v>
      </c>
      <c r="U100" s="144">
        <f t="shared" si="31"/>
        <v>43.47826086956522</v>
      </c>
      <c r="V100" s="6">
        <f t="shared" si="41"/>
        <v>1414.502464235129</v>
      </c>
      <c r="W100" s="6">
        <f t="shared" si="37"/>
        <v>1540.0806047414226</v>
      </c>
      <c r="X100" s="6">
        <f t="shared" si="38"/>
        <v>35.42185390905272</v>
      </c>
      <c r="Y100" s="293">
        <f t="shared" si="26"/>
        <v>1</v>
      </c>
      <c r="Z100" s="296">
        <f t="shared" si="39"/>
        <v>0.38246696083967235</v>
      </c>
      <c r="AA100" s="61"/>
      <c r="AB100" s="57"/>
      <c r="AC100" s="57"/>
      <c r="AD100" s="57"/>
      <c r="AE100" s="57"/>
    </row>
    <row r="101" spans="1:31" ht="15.75" customHeight="1">
      <c r="A101" s="57"/>
      <c r="B101" s="107" t="s">
        <v>120</v>
      </c>
      <c r="C101" s="4"/>
      <c r="D101" s="4"/>
      <c r="E101" s="4"/>
      <c r="F101" s="4"/>
      <c r="G101" s="146">
        <f>E58/(E58-E15/G13*1000)</f>
        <v>0.6168582375478927</v>
      </c>
      <c r="H101" s="109">
        <f>G101</f>
        <v>0.6168582375478927</v>
      </c>
      <c r="I101" s="57"/>
      <c r="J101" s="130">
        <f t="shared" si="40"/>
        <v>0.3475247524752478</v>
      </c>
      <c r="K101" s="131">
        <f t="shared" si="32"/>
        <v>6.571225071225064</v>
      </c>
      <c r="L101" s="132">
        <f t="shared" si="33"/>
        <v>-3.5</v>
      </c>
      <c r="M101" s="6">
        <f t="shared" si="34"/>
        <v>33.01485148514854</v>
      </c>
      <c r="N101" s="6">
        <f t="shared" si="35"/>
        <v>18.86562942008488</v>
      </c>
      <c r="O101" s="6">
        <f t="shared" si="30"/>
        <v>14.149222065063661</v>
      </c>
      <c r="P101" s="263">
        <v>0.8498528692127145</v>
      </c>
      <c r="Q101" s="262">
        <v>1731.0949691645135</v>
      </c>
      <c r="R101" s="263">
        <v>20.405349070901188</v>
      </c>
      <c r="S101" s="132">
        <f t="shared" si="36"/>
        <v>0.8672683956395016</v>
      </c>
      <c r="T101" s="141">
        <f t="shared" si="25"/>
        <v>82.39049758575266</v>
      </c>
      <c r="U101" s="144">
        <f t="shared" si="31"/>
        <v>43.47826086956522</v>
      </c>
      <c r="V101" s="6">
        <f t="shared" si="41"/>
        <v>1426.257758776574</v>
      </c>
      <c r="W101" s="6">
        <f t="shared" si="37"/>
        <v>1557.3499691645134</v>
      </c>
      <c r="X101" s="6">
        <f t="shared" si="38"/>
        <v>35.81904929078381</v>
      </c>
      <c r="Y101" s="293">
        <f t="shared" si="26"/>
        <v>1</v>
      </c>
      <c r="Z101" s="296">
        <f t="shared" si="39"/>
        <v>0.3819342461655365</v>
      </c>
      <c r="AA101" s="61"/>
      <c r="AB101" s="57"/>
      <c r="AC101" s="57"/>
      <c r="AD101" s="57"/>
      <c r="AE101" s="57"/>
    </row>
    <row r="102" spans="1:31" ht="15.75" customHeight="1">
      <c r="A102" s="57"/>
      <c r="B102" s="107" t="s">
        <v>122</v>
      </c>
      <c r="C102" s="4"/>
      <c r="D102" s="4"/>
      <c r="E102" s="4"/>
      <c r="F102" s="4"/>
      <c r="G102" s="4"/>
      <c r="H102" s="109">
        <v>0.45</v>
      </c>
      <c r="I102" s="57"/>
      <c r="J102" s="130">
        <f t="shared" si="40"/>
        <v>0.35198019801980224</v>
      </c>
      <c r="K102" s="131">
        <f t="shared" si="32"/>
        <v>6.443741209563987</v>
      </c>
      <c r="L102" s="132">
        <f t="shared" si="33"/>
        <v>-3.5</v>
      </c>
      <c r="M102" s="6">
        <f t="shared" si="34"/>
        <v>33.43811881188121</v>
      </c>
      <c r="N102" s="6">
        <f t="shared" si="35"/>
        <v>19.107496463932122</v>
      </c>
      <c r="O102" s="6">
        <f t="shared" si="30"/>
        <v>14.330622347949088</v>
      </c>
      <c r="P102" s="263">
        <v>0.850379353502763</v>
      </c>
      <c r="Q102" s="262">
        <v>1748.2357264633265</v>
      </c>
      <c r="R102" s="263">
        <v>20.684874688936336</v>
      </c>
      <c r="S102" s="132">
        <f t="shared" si="36"/>
        <v>0.8657553250216329</v>
      </c>
      <c r="T102" s="141">
        <f t="shared" si="25"/>
        <v>82.24675587705512</v>
      </c>
      <c r="U102" s="144">
        <f t="shared" si="31"/>
        <v>43.47826086956522</v>
      </c>
      <c r="V102" s="6">
        <f t="shared" si="41"/>
        <v>1437.8671700997534</v>
      </c>
      <c r="W102" s="6">
        <f t="shared" si="37"/>
        <v>1574.4907264633266</v>
      </c>
      <c r="X102" s="6">
        <f t="shared" si="38"/>
        <v>36.21328670865651</v>
      </c>
      <c r="Y102" s="293">
        <f t="shared" si="26"/>
        <v>1</v>
      </c>
      <c r="Z102" s="296">
        <f t="shared" si="39"/>
        <v>0.3813983733562607</v>
      </c>
      <c r="AA102" s="61"/>
      <c r="AB102" s="57"/>
      <c r="AC102" s="57"/>
      <c r="AD102" s="57"/>
      <c r="AE102" s="57"/>
    </row>
    <row r="103" spans="1:31" ht="15.75" customHeight="1">
      <c r="A103" s="57"/>
      <c r="B103" s="107" t="s">
        <v>121</v>
      </c>
      <c r="C103" s="4"/>
      <c r="D103" s="4"/>
      <c r="E103" s="4"/>
      <c r="F103" s="4"/>
      <c r="G103" s="4"/>
      <c r="H103" s="109">
        <v>0.35</v>
      </c>
      <c r="I103" s="57"/>
      <c r="J103" s="130">
        <f t="shared" si="40"/>
        <v>0.3564356435643567</v>
      </c>
      <c r="K103" s="131">
        <f t="shared" si="32"/>
        <v>6.319444444444437</v>
      </c>
      <c r="L103" s="132">
        <f t="shared" si="33"/>
        <v>-3.5</v>
      </c>
      <c r="M103" s="6">
        <f t="shared" si="34"/>
        <v>33.86138613861389</v>
      </c>
      <c r="N103" s="6">
        <f t="shared" si="35"/>
        <v>19.349363507779366</v>
      </c>
      <c r="O103" s="6">
        <f t="shared" si="30"/>
        <v>14.512022630834522</v>
      </c>
      <c r="P103" s="263">
        <v>0.8509140572375627</v>
      </c>
      <c r="Q103" s="262">
        <v>1765.248526080561</v>
      </c>
      <c r="R103" s="263">
        <v>20.964960865492305</v>
      </c>
      <c r="S103" s="132">
        <f t="shared" si="36"/>
        <v>0.8642481550197728</v>
      </c>
      <c r="T103" s="141">
        <f t="shared" si="25"/>
        <v>82.10357472687842</v>
      </c>
      <c r="U103" s="144">
        <f t="shared" si="31"/>
        <v>43.47826086956522</v>
      </c>
      <c r="V103" s="6">
        <f t="shared" si="41"/>
        <v>1449.3321427256733</v>
      </c>
      <c r="W103" s="6">
        <f t="shared" si="37"/>
        <v>1591.5035260805612</v>
      </c>
      <c r="X103" s="6">
        <f t="shared" si="38"/>
        <v>36.60458109985291</v>
      </c>
      <c r="Y103" s="293">
        <f t="shared" si="26"/>
        <v>1</v>
      </c>
      <c r="Z103" s="296">
        <f t="shared" si="39"/>
        <v>0.38085934286119266</v>
      </c>
      <c r="AA103" s="61"/>
      <c r="AB103" s="57"/>
      <c r="AC103" s="57"/>
      <c r="AD103" s="57"/>
      <c r="AE103" s="57"/>
    </row>
    <row r="104" spans="1:31" ht="15.75" customHeight="1" thickBot="1">
      <c r="A104" s="57"/>
      <c r="B104" s="110" t="s">
        <v>119</v>
      </c>
      <c r="C104" s="93"/>
      <c r="D104" s="93"/>
      <c r="E104" s="93"/>
      <c r="F104" s="93"/>
      <c r="G104" s="93"/>
      <c r="H104" s="111">
        <v>0.25</v>
      </c>
      <c r="I104" s="57"/>
      <c r="J104" s="130">
        <f t="shared" si="40"/>
        <v>0.36089108910891116</v>
      </c>
      <c r="K104" s="131">
        <f t="shared" si="32"/>
        <v>6.198216735253764</v>
      </c>
      <c r="L104" s="132">
        <f t="shared" si="33"/>
        <v>-3.5</v>
      </c>
      <c r="M104" s="6">
        <f t="shared" si="34"/>
        <v>34.28465346534656</v>
      </c>
      <c r="N104" s="6">
        <f t="shared" si="35"/>
        <v>19.59123055162661</v>
      </c>
      <c r="O104" s="6">
        <f t="shared" si="30"/>
        <v>14.69342291371995</v>
      </c>
      <c r="P104" s="263">
        <v>0.8514569630504882</v>
      </c>
      <c r="Q104" s="262">
        <v>1782.1334819431938</v>
      </c>
      <c r="R104" s="263">
        <v>21.245612486996112</v>
      </c>
      <c r="S104" s="132">
        <f t="shared" si="36"/>
        <v>0.8627469370699954</v>
      </c>
      <c r="T104" s="141">
        <f t="shared" si="25"/>
        <v>81.96095902164956</v>
      </c>
      <c r="U104" s="144">
        <f t="shared" si="31"/>
        <v>43.47826086956522</v>
      </c>
      <c r="V104" s="6">
        <f t="shared" si="41"/>
        <v>1460.6536928465575</v>
      </c>
      <c r="W104" s="6">
        <f t="shared" si="37"/>
        <v>1608.3884819431937</v>
      </c>
      <c r="X104" s="6">
        <f t="shared" si="38"/>
        <v>36.99293508469346</v>
      </c>
      <c r="Y104" s="293">
        <f t="shared" si="26"/>
        <v>1</v>
      </c>
      <c r="Z104" s="296">
        <f t="shared" si="39"/>
        <v>0.38031712910645993</v>
      </c>
      <c r="AA104" s="61"/>
      <c r="AB104" s="57"/>
      <c r="AC104" s="57"/>
      <c r="AD104" s="57"/>
      <c r="AE104" s="57"/>
    </row>
    <row r="105" spans="1:31" ht="15.75" customHeight="1" thickBot="1">
      <c r="A105" s="57"/>
      <c r="B105" s="57"/>
      <c r="C105" s="57"/>
      <c r="D105" s="57"/>
      <c r="E105" s="57"/>
      <c r="F105" s="57"/>
      <c r="G105" s="57"/>
      <c r="H105" s="57"/>
      <c r="I105" s="57"/>
      <c r="J105" s="130">
        <f t="shared" si="40"/>
        <v>0.3653465346534656</v>
      </c>
      <c r="K105" s="131">
        <f t="shared" si="32"/>
        <v>6.079945799457986</v>
      </c>
      <c r="L105" s="132">
        <f t="shared" si="33"/>
        <v>-3.5</v>
      </c>
      <c r="M105" s="6">
        <f t="shared" si="34"/>
        <v>34.707920792079236</v>
      </c>
      <c r="N105" s="6">
        <f t="shared" si="35"/>
        <v>19.833097595473852</v>
      </c>
      <c r="O105" s="6">
        <f t="shared" si="30"/>
        <v>14.874823196605384</v>
      </c>
      <c r="P105" s="263">
        <v>0.852007605213917</v>
      </c>
      <c r="Q105" s="262">
        <v>1798.8897504995853</v>
      </c>
      <c r="R105" s="263">
        <v>21.52683505785023</v>
      </c>
      <c r="S105" s="132">
        <f t="shared" si="36"/>
        <v>0.861251729113379</v>
      </c>
      <c r="T105" s="141">
        <f t="shared" si="25"/>
        <v>81.818914265771</v>
      </c>
      <c r="U105" s="144">
        <f t="shared" si="31"/>
        <v>43.47826086956522</v>
      </c>
      <c r="V105" s="6">
        <f t="shared" si="41"/>
        <v>1471.8320626969976</v>
      </c>
      <c r="W105" s="6">
        <f t="shared" si="37"/>
        <v>1625.1447504995854</v>
      </c>
      <c r="X105" s="6">
        <f t="shared" si="38"/>
        <v>37.378329261490464</v>
      </c>
      <c r="Y105" s="293">
        <f t="shared" si="26"/>
        <v>1</v>
      </c>
      <c r="Z105" s="296">
        <f t="shared" si="39"/>
        <v>0.3797716899606699</v>
      </c>
      <c r="AA105" s="61"/>
      <c r="AB105" s="57"/>
      <c r="AC105" s="57"/>
      <c r="AD105" s="57"/>
      <c r="AE105" s="57"/>
    </row>
    <row r="106" spans="1:31" ht="15.75" customHeight="1">
      <c r="A106" s="57"/>
      <c r="B106" s="85" t="s">
        <v>168</v>
      </c>
      <c r="C106" s="59"/>
      <c r="D106" s="59"/>
      <c r="E106" s="59"/>
      <c r="F106" s="59"/>
      <c r="G106" s="59"/>
      <c r="H106" s="60"/>
      <c r="I106" s="57"/>
      <c r="J106" s="130">
        <f t="shared" si="40"/>
        <v>0.3698019801980201</v>
      </c>
      <c r="K106" s="131">
        <f t="shared" si="32"/>
        <v>5.9645247657295775</v>
      </c>
      <c r="L106" s="132">
        <f t="shared" si="33"/>
        <v>-3.5</v>
      </c>
      <c r="M106" s="6">
        <f t="shared" si="34"/>
        <v>35.131188118811906</v>
      </c>
      <c r="N106" s="6">
        <f t="shared" si="35"/>
        <v>20.07496463932109</v>
      </c>
      <c r="O106" s="6">
        <f t="shared" si="30"/>
        <v>15.056223479490814</v>
      </c>
      <c r="P106" s="263">
        <v>0.8525665581351691</v>
      </c>
      <c r="Q106" s="262">
        <v>1815.5186598449545</v>
      </c>
      <c r="R106" s="263">
        <v>21.808632352250445</v>
      </c>
      <c r="S106" s="132">
        <f t="shared" si="36"/>
        <v>0.8597625708783003</v>
      </c>
      <c r="T106" s="141">
        <f t="shared" si="25"/>
        <v>81.67744423343854</v>
      </c>
      <c r="U106" s="144">
        <f t="shared" si="31"/>
        <v>43.47826086956522</v>
      </c>
      <c r="V106" s="6">
        <f t="shared" si="41"/>
        <v>1482.8692409425335</v>
      </c>
      <c r="W106" s="6">
        <f t="shared" si="37"/>
        <v>1641.7736598449546</v>
      </c>
      <c r="X106" s="6">
        <f t="shared" si="38"/>
        <v>37.760794176433954</v>
      </c>
      <c r="Y106" s="293">
        <f t="shared" si="26"/>
        <v>1</v>
      </c>
      <c r="Z106" s="296">
        <f t="shared" si="39"/>
        <v>0.3792230345727349</v>
      </c>
      <c r="AA106" s="61"/>
      <c r="AB106" s="57"/>
      <c r="AC106" s="57"/>
      <c r="AD106" s="57"/>
      <c r="AE106" s="57"/>
    </row>
    <row r="107" spans="1:31" ht="15.75" customHeight="1">
      <c r="A107" s="57"/>
      <c r="B107" s="81" t="s">
        <v>169</v>
      </c>
      <c r="C107" s="4"/>
      <c r="D107" s="4"/>
      <c r="E107" s="4" t="s">
        <v>170</v>
      </c>
      <c r="F107" s="4"/>
      <c r="G107" s="4"/>
      <c r="H107" s="137"/>
      <c r="I107" s="57"/>
      <c r="J107" s="130">
        <f t="shared" si="40"/>
        <v>0.37425742574257453</v>
      </c>
      <c r="K107" s="131">
        <f t="shared" si="32"/>
        <v>5.851851851851844</v>
      </c>
      <c r="L107" s="132">
        <f t="shared" si="33"/>
        <v>-3.5</v>
      </c>
      <c r="M107" s="6">
        <f t="shared" si="34"/>
        <v>35.55445544554458</v>
      </c>
      <c r="N107" s="6">
        <f t="shared" si="35"/>
        <v>20.31683168316833</v>
      </c>
      <c r="O107" s="6">
        <f t="shared" si="30"/>
        <v>15.237623762376252</v>
      </c>
      <c r="P107" s="263">
        <v>0.8531330966528566</v>
      </c>
      <c r="Q107" s="262">
        <v>1832.0187795721315</v>
      </c>
      <c r="R107" s="263">
        <v>22.091010709395672</v>
      </c>
      <c r="S107" s="132">
        <f t="shared" si="36"/>
        <v>0.8582795290931693</v>
      </c>
      <c r="T107" s="141">
        <f t="shared" si="25"/>
        <v>81.53655526385108</v>
      </c>
      <c r="U107" s="144">
        <f t="shared" si="31"/>
        <v>43.47826086956522</v>
      </c>
      <c r="V107" s="6">
        <f t="shared" si="41"/>
        <v>1493.7650046499612</v>
      </c>
      <c r="W107" s="6">
        <f t="shared" si="37"/>
        <v>1658.2737795721314</v>
      </c>
      <c r="X107" s="6">
        <f t="shared" si="38"/>
        <v>38.14029693015902</v>
      </c>
      <c r="Y107" s="293">
        <f t="shared" si="26"/>
        <v>1</v>
      </c>
      <c r="Z107" s="296">
        <f t="shared" si="39"/>
        <v>0.3786710995129599</v>
      </c>
      <c r="AA107" s="61"/>
      <c r="AB107" s="57"/>
      <c r="AC107" s="57"/>
      <c r="AD107" s="57"/>
      <c r="AE107" s="57"/>
    </row>
    <row r="108" spans="1:31" ht="15.75" customHeight="1">
      <c r="A108" s="57"/>
      <c r="B108" s="199">
        <f>E58</f>
        <v>-3.5</v>
      </c>
      <c r="C108" s="159">
        <f>C110</f>
        <v>-43.333333333333336</v>
      </c>
      <c r="D108" s="4"/>
      <c r="E108" s="5" t="s">
        <v>127</v>
      </c>
      <c r="F108" s="5"/>
      <c r="G108" s="4"/>
      <c r="H108" s="137"/>
      <c r="I108" s="57"/>
      <c r="J108" s="130">
        <f t="shared" si="40"/>
        <v>0.378712871287129</v>
      </c>
      <c r="K108" s="131">
        <f t="shared" si="32"/>
        <v>5.741830065359469</v>
      </c>
      <c r="L108" s="132">
        <f t="shared" si="33"/>
        <v>-3.5</v>
      </c>
      <c r="M108" s="6">
        <f t="shared" si="34"/>
        <v>35.977722772277254</v>
      </c>
      <c r="N108" s="6">
        <f t="shared" si="35"/>
        <v>20.558698727015578</v>
      </c>
      <c r="O108" s="6">
        <f t="shared" si="30"/>
        <v>15.419024045261676</v>
      </c>
      <c r="P108" s="263">
        <v>0.853707793565536</v>
      </c>
      <c r="Q108" s="262">
        <v>1848.391428430606</v>
      </c>
      <c r="R108" s="263">
        <v>22.37397385265344</v>
      </c>
      <c r="S108" s="132">
        <f t="shared" si="36"/>
        <v>0.8568026429513284</v>
      </c>
      <c r="T108" s="141">
        <f t="shared" si="25"/>
        <v>81.39625108037619</v>
      </c>
      <c r="U108" s="144">
        <f t="shared" si="31"/>
        <v>43.47826086956522</v>
      </c>
      <c r="V108" s="6">
        <f t="shared" si="41"/>
        <v>1504.521328033528</v>
      </c>
      <c r="W108" s="6">
        <f t="shared" si="37"/>
        <v>1674.6464284306062</v>
      </c>
      <c r="X108" s="6">
        <f t="shared" si="38"/>
        <v>38.51686785390394</v>
      </c>
      <c r="Y108" s="293">
        <f t="shared" si="26"/>
        <v>1</v>
      </c>
      <c r="Z108" s="296">
        <f t="shared" si="39"/>
        <v>0.37811589704355125</v>
      </c>
      <c r="AA108" s="61"/>
      <c r="AB108" s="57"/>
      <c r="AC108" s="57"/>
      <c r="AD108" s="57"/>
      <c r="AE108" s="57"/>
    </row>
    <row r="109" spans="1:31" ht="15.75" customHeight="1">
      <c r="A109" s="57"/>
      <c r="B109" s="200">
        <f>3.5/H98-3.5</f>
        <v>4.277777777777778</v>
      </c>
      <c r="C109" s="161">
        <f>C111</f>
        <v>51.666666666666664</v>
      </c>
      <c r="D109" s="4"/>
      <c r="E109" s="158">
        <v>0</v>
      </c>
      <c r="F109" s="159">
        <f>R2+M2</f>
        <v>-37.333333333333336</v>
      </c>
      <c r="G109" s="4"/>
      <c r="H109" s="137"/>
      <c r="I109" s="57"/>
      <c r="J109" s="130">
        <f t="shared" si="40"/>
        <v>0.38316831683168345</v>
      </c>
      <c r="K109" s="131">
        <f t="shared" si="32"/>
        <v>5.634366925064593</v>
      </c>
      <c r="L109" s="132">
        <f t="shared" si="33"/>
        <v>-3.5</v>
      </c>
      <c r="M109" s="6">
        <f t="shared" si="34"/>
        <v>36.40099009900993</v>
      </c>
      <c r="N109" s="6">
        <f t="shared" si="35"/>
        <v>20.800565770862814</v>
      </c>
      <c r="O109" s="6">
        <f t="shared" si="30"/>
        <v>15.600424328147117</v>
      </c>
      <c r="P109" s="263">
        <v>0.8542902005461809</v>
      </c>
      <c r="Q109" s="262">
        <v>1864.635727751634</v>
      </c>
      <c r="R109" s="263">
        <v>22.657527869124202</v>
      </c>
      <c r="S109" s="132">
        <f t="shared" si="36"/>
        <v>0.8553319765275187</v>
      </c>
      <c r="T109" s="141">
        <f aca="true" t="shared" si="42" ref="T109:T124">$M$4-M109+R109</f>
        <v>81.25653777011428</v>
      </c>
      <c r="U109" s="144">
        <f t="shared" si="31"/>
        <v>43.47826086956522</v>
      </c>
      <c r="V109" s="6">
        <f t="shared" si="41"/>
        <v>1515.1384343955517</v>
      </c>
      <c r="W109" s="6">
        <f t="shared" si="37"/>
        <v>1690.8907277516341</v>
      </c>
      <c r="X109" s="6">
        <f t="shared" si="38"/>
        <v>38.890486738287585</v>
      </c>
      <c r="Y109" s="293">
        <f t="shared" si="26"/>
        <v>1</v>
      </c>
      <c r="Z109" s="296">
        <f t="shared" si="39"/>
        <v>0.3775573739204291</v>
      </c>
      <c r="AA109" s="61"/>
      <c r="AB109" s="57"/>
      <c r="AC109" s="57"/>
      <c r="AD109" s="57"/>
      <c r="AE109" s="57"/>
    </row>
    <row r="110" spans="1:31" ht="15.75" customHeight="1">
      <c r="A110" s="57"/>
      <c r="B110" s="201">
        <f>L21</f>
        <v>-3.418683173888579</v>
      </c>
      <c r="C110" s="162">
        <f>R2</f>
        <v>-43.333333333333336</v>
      </c>
      <c r="D110" s="4"/>
      <c r="E110" s="160">
        <f>T12</f>
        <v>0</v>
      </c>
      <c r="F110" s="161">
        <f>F109</f>
        <v>-37.333333333333336</v>
      </c>
      <c r="G110" s="4"/>
      <c r="H110" s="137"/>
      <c r="I110" s="57"/>
      <c r="J110" s="130">
        <f t="shared" si="40"/>
        <v>0.3876237623762379</v>
      </c>
      <c r="K110" s="131">
        <f t="shared" si="32"/>
        <v>5.529374201787988</v>
      </c>
      <c r="L110" s="132">
        <f t="shared" si="33"/>
        <v>-3.5</v>
      </c>
      <c r="M110" s="6">
        <f t="shared" si="34"/>
        <v>36.8242574257426</v>
      </c>
      <c r="N110" s="6">
        <f t="shared" si="35"/>
        <v>21.042432814710057</v>
      </c>
      <c r="O110" s="6">
        <f t="shared" si="30"/>
        <v>15.781824611032544</v>
      </c>
      <c r="P110" s="263">
        <v>0.8548804044564856</v>
      </c>
      <c r="Q110" s="262">
        <v>1880.7519356993869</v>
      </c>
      <c r="R110" s="263">
        <v>22.941677542581473</v>
      </c>
      <c r="S110" s="132">
        <f t="shared" si="36"/>
        <v>0.8538675801772513</v>
      </c>
      <c r="T110" s="141">
        <f t="shared" si="42"/>
        <v>81.11742011683887</v>
      </c>
      <c r="U110" s="144">
        <f t="shared" si="31"/>
        <v>43.47826086956522</v>
      </c>
      <c r="V110" s="6">
        <f t="shared" si="41"/>
        <v>1525.617449036851</v>
      </c>
      <c r="W110" s="6">
        <f t="shared" si="37"/>
        <v>1707.0069356993868</v>
      </c>
      <c r="X110" s="6">
        <f t="shared" si="38"/>
        <v>39.261159521085894</v>
      </c>
      <c r="Y110" s="293">
        <f t="shared" si="26"/>
        <v>1</v>
      </c>
      <c r="Z110" s="296">
        <f t="shared" si="39"/>
        <v>0.37699551474067966</v>
      </c>
      <c r="AA110" s="61"/>
      <c r="AB110" s="57"/>
      <c r="AC110" s="57"/>
      <c r="AD110" s="57"/>
      <c r="AE110" s="57"/>
    </row>
    <row r="111" spans="1:31" ht="15.75" customHeight="1">
      <c r="A111" s="57"/>
      <c r="B111" s="200">
        <f>K21</f>
        <v>25</v>
      </c>
      <c r="C111" s="161">
        <f>R2+M4</f>
        <v>51.666666666666664</v>
      </c>
      <c r="D111" s="4"/>
      <c r="E111" s="33" t="s">
        <v>128</v>
      </c>
      <c r="F111" s="33"/>
      <c r="G111" s="4"/>
      <c r="H111" s="137"/>
      <c r="I111" s="57"/>
      <c r="J111" s="130">
        <f t="shared" si="40"/>
        <v>0.39207920792079237</v>
      </c>
      <c r="K111" s="131">
        <f t="shared" si="32"/>
        <v>5.426767676767669</v>
      </c>
      <c r="L111" s="132">
        <f t="shared" si="33"/>
        <v>-3.5</v>
      </c>
      <c r="M111" s="6">
        <f t="shared" si="34"/>
        <v>37.24752475247528</v>
      </c>
      <c r="N111" s="6">
        <f t="shared" si="35"/>
        <v>21.2842998585573</v>
      </c>
      <c r="O111" s="6">
        <f t="shared" si="30"/>
        <v>15.963224893917978</v>
      </c>
      <c r="P111" s="263">
        <v>0.8554785443470905</v>
      </c>
      <c r="Q111" s="262">
        <v>1896.7404231436399</v>
      </c>
      <c r="R111" s="263">
        <v>23.22642788038624</v>
      </c>
      <c r="S111" s="132">
        <f t="shared" si="36"/>
        <v>0.8524095066095891</v>
      </c>
      <c r="T111" s="141">
        <f t="shared" si="42"/>
        <v>80.97890312791097</v>
      </c>
      <c r="U111" s="144">
        <f t="shared" si="31"/>
        <v>43.47826086956522</v>
      </c>
      <c r="V111" s="6">
        <f t="shared" si="41"/>
        <v>1535.9595898454168</v>
      </c>
      <c r="W111" s="6">
        <f t="shared" si="37"/>
        <v>1722.99542314364</v>
      </c>
      <c r="X111" s="6">
        <f t="shared" si="38"/>
        <v>39.62889473230372</v>
      </c>
      <c r="Y111" s="293">
        <f t="shared" si="26"/>
        <v>1</v>
      </c>
      <c r="Z111" s="296">
        <f t="shared" si="39"/>
        <v>0.37643029879877504</v>
      </c>
      <c r="AA111" s="61"/>
      <c r="AB111" s="57"/>
      <c r="AC111" s="57"/>
      <c r="AD111" s="57"/>
      <c r="AE111" s="57"/>
    </row>
    <row r="112" spans="1:31" ht="15.75" customHeight="1">
      <c r="A112" s="57"/>
      <c r="B112" s="201">
        <f>B111</f>
        <v>25</v>
      </c>
      <c r="C112" s="162">
        <f>C111</f>
        <v>51.666666666666664</v>
      </c>
      <c r="D112" s="4"/>
      <c r="E112" s="158">
        <v>0</v>
      </c>
      <c r="F112" s="159">
        <f>R2+M4</f>
        <v>51.666666666666664</v>
      </c>
      <c r="G112" s="4"/>
      <c r="H112" s="137"/>
      <c r="I112" s="57"/>
      <c r="J112" s="130">
        <f t="shared" si="40"/>
        <v>0.39653465346534683</v>
      </c>
      <c r="K112" s="131">
        <f t="shared" si="32"/>
        <v>5.3264669163545495</v>
      </c>
      <c r="L112" s="132">
        <f t="shared" si="33"/>
        <v>-3.5</v>
      </c>
      <c r="M112" s="6">
        <f t="shared" si="34"/>
        <v>37.67079207920795</v>
      </c>
      <c r="N112" s="6">
        <f t="shared" si="35"/>
        <v>21.526166902404544</v>
      </c>
      <c r="O112" s="6">
        <f t="shared" si="30"/>
        <v>16.144625176803405</v>
      </c>
      <c r="P112" s="263">
        <v>0.856084197702136</v>
      </c>
      <c r="Q112" s="262">
        <v>1912.6003067091613</v>
      </c>
      <c r="R112" s="263">
        <v>23.51178499466677</v>
      </c>
      <c r="S112" s="132">
        <f t="shared" si="36"/>
        <v>0.8509578201627245</v>
      </c>
      <c r="T112" s="141">
        <f t="shared" si="42"/>
        <v>80.84099291545883</v>
      </c>
      <c r="U112" s="144">
        <f t="shared" si="31"/>
        <v>43.47826086956522</v>
      </c>
      <c r="V112" s="6">
        <f t="shared" si="41"/>
        <v>1546.165078447797</v>
      </c>
      <c r="W112" s="6">
        <f t="shared" si="37"/>
        <v>1738.8553067091611</v>
      </c>
      <c r="X112" s="6">
        <f t="shared" si="38"/>
        <v>39.99367205431071</v>
      </c>
      <c r="Y112" s="293">
        <f t="shared" si="26"/>
        <v>1</v>
      </c>
      <c r="Z112" s="296">
        <f t="shared" si="39"/>
        <v>0.3758616769928795</v>
      </c>
      <c r="AA112" s="61"/>
      <c r="AB112" s="57"/>
      <c r="AC112" s="57"/>
      <c r="AD112" s="57"/>
      <c r="AE112" s="57"/>
    </row>
    <row r="113" spans="1:31" ht="15.75" customHeight="1">
      <c r="A113" s="57"/>
      <c r="B113" s="200">
        <v>0</v>
      </c>
      <c r="C113" s="161">
        <f>C112</f>
        <v>51.666666666666664</v>
      </c>
      <c r="D113" s="4"/>
      <c r="E113" s="160">
        <f>T13</f>
        <v>509.9352697725087</v>
      </c>
      <c r="F113" s="161">
        <f>F112</f>
        <v>51.666666666666664</v>
      </c>
      <c r="G113" s="4"/>
      <c r="H113" s="137"/>
      <c r="I113" s="57"/>
      <c r="J113" s="130">
        <f t="shared" si="40"/>
        <v>0.4009900990099013</v>
      </c>
      <c r="K113" s="131">
        <f t="shared" si="32"/>
        <v>5.228395061728388</v>
      </c>
      <c r="L113" s="132">
        <f t="shared" si="33"/>
        <v>-3.5</v>
      </c>
      <c r="M113" s="6">
        <f t="shared" si="34"/>
        <v>38.09405940594062</v>
      </c>
      <c r="N113" s="6">
        <f t="shared" si="35"/>
        <v>21.768033946251787</v>
      </c>
      <c r="O113" s="6">
        <f t="shared" si="30"/>
        <v>16.326025459688832</v>
      </c>
      <c r="P113" s="263">
        <v>0.8566978794924982</v>
      </c>
      <c r="Q113" s="262">
        <v>1928.3327756406572</v>
      </c>
      <c r="R113" s="263">
        <v>23.797753078634912</v>
      </c>
      <c r="S113" s="132">
        <f t="shared" si="36"/>
        <v>0.8495125649757295</v>
      </c>
      <c r="T113" s="141">
        <f t="shared" si="42"/>
        <v>80.7036936726943</v>
      </c>
      <c r="U113" s="144">
        <f t="shared" si="31"/>
        <v>43.47826086956522</v>
      </c>
      <c r="V113" s="6">
        <f t="shared" si="41"/>
        <v>1556.2357762431993</v>
      </c>
      <c r="W113" s="6">
        <f t="shared" si="37"/>
        <v>1754.5877756406571</v>
      </c>
      <c r="X113" s="6">
        <f t="shared" si="38"/>
        <v>40.35551883973511</v>
      </c>
      <c r="Y113" s="293">
        <f t="shared" si="26"/>
        <v>1</v>
      </c>
      <c r="Z113" s="296">
        <f t="shared" si="39"/>
        <v>0.37528965277657583</v>
      </c>
      <c r="AA113" s="61"/>
      <c r="AB113" s="57"/>
      <c r="AC113" s="57"/>
      <c r="AD113" s="57"/>
      <c r="AE113" s="57"/>
    </row>
    <row r="114" spans="1:31" ht="15.75" customHeight="1">
      <c r="A114" s="57"/>
      <c r="B114" s="63"/>
      <c r="C114" s="5"/>
      <c r="D114" s="4"/>
      <c r="E114" s="33" t="s">
        <v>190</v>
      </c>
      <c r="F114" s="33"/>
      <c r="G114" s="4"/>
      <c r="H114" s="137"/>
      <c r="I114" s="57"/>
      <c r="J114" s="130">
        <f t="shared" si="40"/>
        <v>0.40544554455445575</v>
      </c>
      <c r="K114" s="131">
        <f t="shared" si="32"/>
        <v>5.132478632478626</v>
      </c>
      <c r="L114" s="132">
        <f t="shared" si="33"/>
        <v>-3.5</v>
      </c>
      <c r="M114" s="6">
        <f t="shared" si="34"/>
        <v>38.5173267326733</v>
      </c>
      <c r="N114" s="6">
        <f t="shared" si="35"/>
        <v>22.009900990099027</v>
      </c>
      <c r="O114" s="6">
        <f t="shared" si="30"/>
        <v>16.50742574257427</v>
      </c>
      <c r="P114" s="263">
        <v>0.8573190473628186</v>
      </c>
      <c r="Q114" s="262">
        <v>1943.9366471332967</v>
      </c>
      <c r="R114" s="263">
        <v>24.084338826356404</v>
      </c>
      <c r="S114" s="132">
        <f t="shared" si="36"/>
        <v>0.8480738115124538</v>
      </c>
      <c r="T114" s="141">
        <f t="shared" si="42"/>
        <v>80.5670120936831</v>
      </c>
      <c r="U114" s="144">
        <f t="shared" si="31"/>
        <v>43.47826086956522</v>
      </c>
      <c r="V114" s="6">
        <f t="shared" si="41"/>
        <v>1566.171673589421</v>
      </c>
      <c r="W114" s="6">
        <f t="shared" si="37"/>
        <v>1770.1916471332966</v>
      </c>
      <c r="X114" s="6">
        <f t="shared" si="38"/>
        <v>40.71440788406582</v>
      </c>
      <c r="Y114" s="293">
        <f t="shared" si="26"/>
        <v>1</v>
      </c>
      <c r="Z114" s="296">
        <f t="shared" si="39"/>
        <v>0.374714164523618</v>
      </c>
      <c r="AA114" s="61"/>
      <c r="AB114" s="57"/>
      <c r="AC114" s="57"/>
      <c r="AD114" s="57"/>
      <c r="AE114" s="57"/>
    </row>
    <row r="115" spans="1:31" ht="15.75" customHeight="1">
      <c r="A115" s="57"/>
      <c r="B115" s="63" t="s">
        <v>36</v>
      </c>
      <c r="C115" s="5"/>
      <c r="D115" s="4"/>
      <c r="E115" s="158">
        <v>0</v>
      </c>
      <c r="F115" s="159">
        <f>R2+P14</f>
        <v>-38.71440037391269</v>
      </c>
      <c r="G115" s="4"/>
      <c r="H115" s="137"/>
      <c r="I115" s="57"/>
      <c r="J115" s="130">
        <f t="shared" si="40"/>
        <v>0.4099009900990102</v>
      </c>
      <c r="K115" s="131">
        <f t="shared" si="32"/>
        <v>5.038647342995162</v>
      </c>
      <c r="L115" s="132">
        <f t="shared" si="33"/>
        <v>-3.5</v>
      </c>
      <c r="M115" s="6">
        <f t="shared" si="34"/>
        <v>38.94059405940597</v>
      </c>
      <c r="N115" s="6">
        <f t="shared" si="35"/>
        <v>22.251768033946274</v>
      </c>
      <c r="O115" s="6">
        <f t="shared" si="30"/>
        <v>16.688826025459694</v>
      </c>
      <c r="P115" s="263">
        <v>0.8579481339665291</v>
      </c>
      <c r="Q115" s="262">
        <v>1959.4129202803954</v>
      </c>
      <c r="R115" s="263">
        <v>24.371546619947075</v>
      </c>
      <c r="S115" s="132">
        <f t="shared" si="36"/>
        <v>0.8466416059004327</v>
      </c>
      <c r="T115" s="141">
        <f t="shared" si="42"/>
        <v>80.4309525605411</v>
      </c>
      <c r="U115" s="144">
        <f t="shared" si="31"/>
        <v>43.47826086956522</v>
      </c>
      <c r="V115" s="6">
        <f t="shared" si="41"/>
        <v>1575.9744763758376</v>
      </c>
      <c r="W115" s="6">
        <f t="shared" si="37"/>
        <v>1785.6679202803953</v>
      </c>
      <c r="X115" s="6">
        <f t="shared" si="38"/>
        <v>41.07036216644909</v>
      </c>
      <c r="Y115" s="293">
        <f t="shared" si="26"/>
        <v>1</v>
      </c>
      <c r="Z115" s="296">
        <f t="shared" si="39"/>
        <v>0.37413521265836436</v>
      </c>
      <c r="AA115" s="61"/>
      <c r="AB115" s="57"/>
      <c r="AC115" s="57"/>
      <c r="AD115" s="57"/>
      <c r="AE115" s="57"/>
    </row>
    <row r="116" spans="1:31" ht="15.75" customHeight="1">
      <c r="A116" s="57"/>
      <c r="B116" s="199">
        <v>-3</v>
      </c>
      <c r="C116" s="159">
        <f>R2</f>
        <v>-43.333333333333336</v>
      </c>
      <c r="D116" s="4"/>
      <c r="E116" s="160">
        <f>R18</f>
        <v>-683.6802697725087</v>
      </c>
      <c r="F116" s="161">
        <f>F115</f>
        <v>-38.71440037391269</v>
      </c>
      <c r="G116" s="4"/>
      <c r="H116" s="137"/>
      <c r="I116" s="57"/>
      <c r="J116" s="130">
        <f t="shared" si="40"/>
        <v>0.41435643564356467</v>
      </c>
      <c r="K116" s="131">
        <f t="shared" si="32"/>
        <v>4.946833930704892</v>
      </c>
      <c r="L116" s="132">
        <f t="shared" si="33"/>
        <v>-3.5</v>
      </c>
      <c r="M116" s="6">
        <f t="shared" si="34"/>
        <v>39.363861386138645</v>
      </c>
      <c r="N116" s="6">
        <f t="shared" si="35"/>
        <v>22.493635077793513</v>
      </c>
      <c r="O116" s="6">
        <f t="shared" si="30"/>
        <v>16.87022630834513</v>
      </c>
      <c r="P116" s="263">
        <v>0.8585848849450739</v>
      </c>
      <c r="Q116" s="262">
        <v>1974.7610333355528</v>
      </c>
      <c r="R116" s="263">
        <v>24.659382741807942</v>
      </c>
      <c r="S116" s="132">
        <f t="shared" si="36"/>
        <v>0.8452160142702031</v>
      </c>
      <c r="T116" s="141">
        <f t="shared" si="42"/>
        <v>80.2955213556693</v>
      </c>
      <c r="U116" s="144">
        <f t="shared" si="31"/>
        <v>43.47826086956522</v>
      </c>
      <c r="V116" s="6">
        <f t="shared" si="41"/>
        <v>1585.6446672453844</v>
      </c>
      <c r="W116" s="6">
        <f t="shared" si="37"/>
        <v>1801.016033335553</v>
      </c>
      <c r="X116" s="6">
        <f t="shared" si="38"/>
        <v>41.423368766717715</v>
      </c>
      <c r="Y116" s="293">
        <f t="shared" si="26"/>
        <v>1</v>
      </c>
      <c r="Z116" s="296">
        <f t="shared" si="39"/>
        <v>0.3735527493120543</v>
      </c>
      <c r="AA116" s="61"/>
      <c r="AB116" s="57"/>
      <c r="AC116" s="57"/>
      <c r="AD116" s="57"/>
      <c r="AE116" s="57"/>
    </row>
    <row r="117" spans="1:31" ht="15.75" customHeight="1">
      <c r="A117" s="57"/>
      <c r="B117" s="47">
        <v>0</v>
      </c>
      <c r="C117" s="171">
        <f>C116</f>
        <v>-43.333333333333336</v>
      </c>
      <c r="D117" s="4"/>
      <c r="E117" s="5"/>
      <c r="F117" s="5"/>
      <c r="G117" s="4"/>
      <c r="H117" s="137"/>
      <c r="I117" s="57"/>
      <c r="J117" s="130">
        <f t="shared" si="40"/>
        <v>0.41881188118811913</v>
      </c>
      <c r="K117" s="131">
        <f t="shared" si="32"/>
        <v>4.856973995271861</v>
      </c>
      <c r="L117" s="132">
        <f t="shared" si="33"/>
        <v>-3.5</v>
      </c>
      <c r="M117" s="6">
        <f t="shared" si="34"/>
        <v>39.787128712871315</v>
      </c>
      <c r="N117" s="6">
        <f t="shared" si="35"/>
        <v>22.735502121640753</v>
      </c>
      <c r="O117" s="6">
        <f t="shared" si="30"/>
        <v>17.051626591230562</v>
      </c>
      <c r="P117" s="263">
        <v>0.8592292933224024</v>
      </c>
      <c r="Q117" s="262">
        <v>1989.9809720168078</v>
      </c>
      <c r="R117" s="263">
        <v>24.947852743061464</v>
      </c>
      <c r="S117" s="132">
        <f t="shared" si="36"/>
        <v>0.8437970950546332</v>
      </c>
      <c r="T117" s="141">
        <f t="shared" si="42"/>
        <v>80.16072403019015</v>
      </c>
      <c r="U117" s="144">
        <f t="shared" si="31"/>
        <v>43.47826086956522</v>
      </c>
      <c r="V117" s="6">
        <f t="shared" si="41"/>
        <v>1595.183155231689</v>
      </c>
      <c r="W117" s="6">
        <f t="shared" si="37"/>
        <v>1816.2359720168079</v>
      </c>
      <c r="X117" s="6">
        <f t="shared" si="38"/>
        <v>41.77342735638658</v>
      </c>
      <c r="Y117" s="293">
        <f t="shared" si="26"/>
        <v>1</v>
      </c>
      <c r="Z117" s="296">
        <f t="shared" si="39"/>
        <v>0.37296674703267235</v>
      </c>
      <c r="AA117" s="61"/>
      <c r="AB117" s="57"/>
      <c r="AC117" s="57"/>
      <c r="AD117" s="57"/>
      <c r="AE117" s="57"/>
    </row>
    <row r="118" spans="1:31" ht="15.75" customHeight="1">
      <c r="A118" s="57"/>
      <c r="B118" s="47">
        <v>0</v>
      </c>
      <c r="C118" s="171">
        <f>C119</f>
        <v>56.666666666666664</v>
      </c>
      <c r="D118" s="4"/>
      <c r="E118" s="5"/>
      <c r="F118" s="5"/>
      <c r="G118" s="4"/>
      <c r="H118" s="137"/>
      <c r="I118" s="57"/>
      <c r="J118" s="130">
        <f t="shared" si="40"/>
        <v>0.4232673267326736</v>
      </c>
      <c r="K118" s="131">
        <f t="shared" si="32"/>
        <v>4.76900584795321</v>
      </c>
      <c r="L118" s="132">
        <f t="shared" si="33"/>
        <v>-3.5</v>
      </c>
      <c r="M118" s="6">
        <f t="shared" si="34"/>
        <v>40.21039603960399</v>
      </c>
      <c r="N118" s="6">
        <f t="shared" si="35"/>
        <v>22.977369165487996</v>
      </c>
      <c r="O118" s="6">
        <f t="shared" si="30"/>
        <v>17.233026874115996</v>
      </c>
      <c r="P118" s="263">
        <v>0.8598815867127213</v>
      </c>
      <c r="Q118" s="262">
        <v>2005.0732597072622</v>
      </c>
      <c r="R118" s="263">
        <v>25.236961862529018</v>
      </c>
      <c r="S118" s="132">
        <f t="shared" si="36"/>
        <v>0.8423849033992108</v>
      </c>
      <c r="T118" s="141">
        <f t="shared" si="42"/>
        <v>80.02656582292502</v>
      </c>
      <c r="U118" s="144">
        <f t="shared" si="31"/>
        <v>43.47826086956522</v>
      </c>
      <c r="V118" s="6">
        <f t="shared" si="41"/>
        <v>1604.5912719775006</v>
      </c>
      <c r="W118" s="6">
        <f t="shared" si="37"/>
        <v>1831.328259707262</v>
      </c>
      <c r="X118" s="6">
        <f t="shared" si="38"/>
        <v>42.120549973267025</v>
      </c>
      <c r="Y118" s="293">
        <f t="shared" si="26"/>
        <v>1</v>
      </c>
      <c r="Z118" s="296">
        <f t="shared" si="39"/>
        <v>0.37237718729075314</v>
      </c>
      <c r="AA118" s="61"/>
      <c r="AB118" s="57"/>
      <c r="AC118" s="57"/>
      <c r="AD118" s="57"/>
      <c r="AE118" s="57"/>
    </row>
    <row r="119" spans="1:31" ht="15.75" customHeight="1">
      <c r="A119" s="57"/>
      <c r="B119" s="200">
        <v>-3</v>
      </c>
      <c r="C119" s="172">
        <f>R2+K5</f>
        <v>56.666666666666664</v>
      </c>
      <c r="D119" s="4"/>
      <c r="E119" s="5" t="s">
        <v>36</v>
      </c>
      <c r="F119" s="5"/>
      <c r="G119" s="4"/>
      <c r="H119" s="137"/>
      <c r="I119" s="57"/>
      <c r="J119" s="130">
        <f t="shared" si="40"/>
        <v>0.42772277227722805</v>
      </c>
      <c r="K119" s="131">
        <f t="shared" si="32"/>
        <v>4.682870370370364</v>
      </c>
      <c r="L119" s="132">
        <f t="shared" si="33"/>
        <v>-3.5</v>
      </c>
      <c r="M119" s="6">
        <f t="shared" si="34"/>
        <v>40.63366336633666</v>
      </c>
      <c r="N119" s="6">
        <f t="shared" si="35"/>
        <v>23.219236209335236</v>
      </c>
      <c r="O119" s="6">
        <f t="shared" si="30"/>
        <v>17.414427157001427</v>
      </c>
      <c r="P119" s="263">
        <v>0.8605413978593033</v>
      </c>
      <c r="Q119" s="262">
        <v>2020.0370286884229</v>
      </c>
      <c r="R119" s="263">
        <v>25.526716799842283</v>
      </c>
      <c r="S119" s="132">
        <f t="shared" si="36"/>
        <v>0.840979509826375</v>
      </c>
      <c r="T119" s="141">
        <f t="shared" si="42"/>
        <v>79.89305343350563</v>
      </c>
      <c r="U119" s="144">
        <f t="shared" si="31"/>
        <v>43.47826086956522</v>
      </c>
      <c r="V119" s="6">
        <f t="shared" si="41"/>
        <v>1613.8692627066412</v>
      </c>
      <c r="W119" s="6">
        <f t="shared" si="37"/>
        <v>1846.2920286884228</v>
      </c>
      <c r="X119" s="6">
        <f t="shared" si="38"/>
        <v>42.46471665983372</v>
      </c>
      <c r="Y119" s="293">
        <f t="shared" si="26"/>
        <v>1</v>
      </c>
      <c r="Z119" s="296">
        <f t="shared" si="39"/>
        <v>0.3717840163781509</v>
      </c>
      <c r="AA119" s="61"/>
      <c r="AB119" s="57"/>
      <c r="AC119" s="57"/>
      <c r="AD119" s="57"/>
      <c r="AE119" s="57"/>
    </row>
    <row r="120" spans="1:31" ht="15.75" customHeight="1">
      <c r="A120" s="57"/>
      <c r="B120" s="201">
        <v>-3</v>
      </c>
      <c r="C120" s="162">
        <f>R2+Dateneingabe!E45</f>
        <v>-43.333333333333336</v>
      </c>
      <c r="D120" s="4"/>
      <c r="E120" s="158">
        <f>MIN(E110,E116)/2</f>
        <v>-341.84013488625436</v>
      </c>
      <c r="F120" s="159">
        <f>C116</f>
        <v>-43.333333333333336</v>
      </c>
      <c r="G120" s="158">
        <f>E120</f>
        <v>-341.84013488625436</v>
      </c>
      <c r="H120" s="291">
        <f>C120</f>
        <v>-43.333333333333336</v>
      </c>
      <c r="I120" s="57"/>
      <c r="J120" s="130">
        <f t="shared" si="40"/>
        <v>0.4321782178217825</v>
      </c>
      <c r="K120" s="131">
        <f t="shared" si="32"/>
        <v>4.59851088201603</v>
      </c>
      <c r="L120" s="132">
        <f t="shared" si="33"/>
        <v>-3.5</v>
      </c>
      <c r="M120" s="6">
        <f t="shared" si="34"/>
        <v>41.05693069306934</v>
      </c>
      <c r="N120" s="6">
        <f t="shared" si="35"/>
        <v>23.46110325318248</v>
      </c>
      <c r="O120" s="6">
        <f t="shared" si="30"/>
        <v>17.59582743988686</v>
      </c>
      <c r="P120" s="263">
        <v>0.8612091805769599</v>
      </c>
      <c r="Q120" s="262">
        <v>2034.873319475374</v>
      </c>
      <c r="R120" s="263">
        <v>25.817122252251682</v>
      </c>
      <c r="S120" s="132">
        <f t="shared" si="36"/>
        <v>0.8395809637808668</v>
      </c>
      <c r="T120" s="141">
        <f t="shared" si="42"/>
        <v>79.76019155918235</v>
      </c>
      <c r="U120" s="144">
        <f t="shared" si="31"/>
        <v>43.47826086956522</v>
      </c>
      <c r="V120" s="6">
        <f t="shared" si="41"/>
        <v>1623.0188576002508</v>
      </c>
      <c r="W120" s="6">
        <f t="shared" si="37"/>
        <v>1861.1283194753742</v>
      </c>
      <c r="X120" s="6">
        <f t="shared" si="38"/>
        <v>42.80595134793361</v>
      </c>
      <c r="Y120" s="293">
        <f t="shared" si="26"/>
        <v>1</v>
      </c>
      <c r="Z120" s="296">
        <f t="shared" si="39"/>
        <v>0.3711872315723355</v>
      </c>
      <c r="AA120" s="61"/>
      <c r="AB120" s="57"/>
      <c r="AC120" s="57"/>
      <c r="AD120" s="57"/>
      <c r="AE120" s="57"/>
    </row>
    <row r="121" spans="1:31" ht="15.75" customHeight="1">
      <c r="A121" s="57"/>
      <c r="B121" s="288">
        <v>0</v>
      </c>
      <c r="C121" s="290">
        <f>C120</f>
        <v>-43.333333333333336</v>
      </c>
      <c r="D121" s="4"/>
      <c r="E121" s="170">
        <v>0</v>
      </c>
      <c r="F121" s="171">
        <f>F120</f>
        <v>-43.333333333333336</v>
      </c>
      <c r="G121" s="170">
        <v>0</v>
      </c>
      <c r="H121" s="35">
        <f>H120</f>
        <v>-43.333333333333336</v>
      </c>
      <c r="I121" s="57"/>
      <c r="J121" s="130">
        <f t="shared" si="40"/>
        <v>0.43663366336633697</v>
      </c>
      <c r="K121" s="131">
        <f t="shared" si="32"/>
        <v>4.51587301587301</v>
      </c>
      <c r="L121" s="132">
        <f t="shared" si="33"/>
        <v>-3.5</v>
      </c>
      <c r="M121" s="6">
        <f t="shared" si="34"/>
        <v>41.48019801980201</v>
      </c>
      <c r="N121" s="6">
        <f t="shared" si="35"/>
        <v>23.702970297029722</v>
      </c>
      <c r="O121" s="6">
        <f t="shared" si="30"/>
        <v>17.777227722772288</v>
      </c>
      <c r="P121" s="263">
        <v>0.8618845401018198</v>
      </c>
      <c r="Q121" s="262">
        <v>2049.5811735180955</v>
      </c>
      <c r="R121" s="263">
        <v>26.10818528684356</v>
      </c>
      <c r="S121" s="132">
        <f t="shared" si="36"/>
        <v>0.838189339653069</v>
      </c>
      <c r="T121" s="141">
        <f t="shared" si="42"/>
        <v>79.62798726704155</v>
      </c>
      <c r="U121" s="144">
        <f t="shared" si="31"/>
        <v>43.47826086956522</v>
      </c>
      <c r="V121" s="6">
        <f t="shared" si="41"/>
        <v>1632.0402358766698</v>
      </c>
      <c r="W121" s="6">
        <f t="shared" si="37"/>
        <v>1875.8361735180956</v>
      </c>
      <c r="X121" s="6">
        <f t="shared" si="38"/>
        <v>43.1442319909162</v>
      </c>
      <c r="Y121" s="293">
        <f t="shared" si="26"/>
        <v>1</v>
      </c>
      <c r="Z121" s="296">
        <f t="shared" si="39"/>
        <v>0.37058677313015925</v>
      </c>
      <c r="AA121" s="61"/>
      <c r="AB121" s="57"/>
      <c r="AC121" s="57"/>
      <c r="AD121" s="57"/>
      <c r="AE121" s="57"/>
    </row>
    <row r="122" spans="1:31" ht="15.75" customHeight="1">
      <c r="A122" s="57"/>
      <c r="B122" s="288">
        <v>-3</v>
      </c>
      <c r="C122" s="290">
        <f>R2+Dateneingabe!E45+Dateneingabe!E46</f>
        <v>56.666666666666664</v>
      </c>
      <c r="D122" s="4"/>
      <c r="E122" s="170">
        <v>0</v>
      </c>
      <c r="F122" s="171">
        <f>F123</f>
        <v>56.666666666666664</v>
      </c>
      <c r="G122" s="170">
        <f>G120</f>
        <v>-341.84013488625436</v>
      </c>
      <c r="H122" s="35">
        <f>C122</f>
        <v>56.666666666666664</v>
      </c>
      <c r="I122" s="57"/>
      <c r="J122" s="130">
        <f t="shared" si="40"/>
        <v>0.4410891089108914</v>
      </c>
      <c r="K122" s="131">
        <f t="shared" si="32"/>
        <v>4.434904601571262</v>
      </c>
      <c r="L122" s="132">
        <f t="shared" si="33"/>
        <v>-3.5</v>
      </c>
      <c r="M122" s="6">
        <f t="shared" si="34"/>
        <v>41.90346534653469</v>
      </c>
      <c r="N122" s="6">
        <f t="shared" si="35"/>
        <v>23.944837340876962</v>
      </c>
      <c r="O122" s="6">
        <f t="shared" si="30"/>
        <v>17.958628005657726</v>
      </c>
      <c r="P122" s="263">
        <v>0.8625678002786625</v>
      </c>
      <c r="Q122" s="262">
        <v>2064.1613189415707</v>
      </c>
      <c r="R122" s="263">
        <v>26.399910995640777</v>
      </c>
      <c r="S122" s="132">
        <f t="shared" si="36"/>
        <v>0.8368046910432221</v>
      </c>
      <c r="T122" s="141">
        <f t="shared" si="42"/>
        <v>79.4964456491061</v>
      </c>
      <c r="U122" s="144">
        <f t="shared" si="31"/>
        <v>43.47826086956522</v>
      </c>
      <c r="V122" s="6">
        <f t="shared" si="41"/>
        <v>1640.9348810222573</v>
      </c>
      <c r="W122" s="6">
        <f t="shared" si="37"/>
        <v>1890.4163189415708</v>
      </c>
      <c r="X122" s="6">
        <f t="shared" si="38"/>
        <v>43.47957533565613</v>
      </c>
      <c r="Y122" s="293">
        <f t="shared" si="26"/>
        <v>1</v>
      </c>
      <c r="Z122" s="296">
        <f t="shared" si="39"/>
        <v>0.36998263085599475</v>
      </c>
      <c r="AA122" s="61"/>
      <c r="AB122" s="57"/>
      <c r="AC122" s="57"/>
      <c r="AD122" s="57"/>
      <c r="AE122" s="57"/>
    </row>
    <row r="123" spans="1:31" ht="15.75" customHeight="1">
      <c r="A123" s="57"/>
      <c r="B123" s="289">
        <v>0</v>
      </c>
      <c r="C123" s="172">
        <f>C122</f>
        <v>56.666666666666664</v>
      </c>
      <c r="D123" s="4"/>
      <c r="E123" s="160">
        <f>E120</f>
        <v>-341.84013488625436</v>
      </c>
      <c r="F123" s="172">
        <f>C119</f>
        <v>56.666666666666664</v>
      </c>
      <c r="G123" s="160">
        <v>0</v>
      </c>
      <c r="H123" s="292">
        <f>H122</f>
        <v>56.666666666666664</v>
      </c>
      <c r="I123" s="57"/>
      <c r="J123" s="130">
        <f t="shared" si="40"/>
        <v>0.4455445544554459</v>
      </c>
      <c r="K123" s="131">
        <f t="shared" si="32"/>
        <v>4.355555555555549</v>
      </c>
      <c r="L123" s="132">
        <f t="shared" si="33"/>
        <v>-3.5</v>
      </c>
      <c r="M123" s="6">
        <f t="shared" si="34"/>
        <v>42.32673267326736</v>
      </c>
      <c r="N123" s="6">
        <f t="shared" si="35"/>
        <v>24.18670438472421</v>
      </c>
      <c r="O123" s="6">
        <f t="shared" si="30"/>
        <v>18.14002828854315</v>
      </c>
      <c r="P123" s="263">
        <v>0.8632588478115888</v>
      </c>
      <c r="Q123" s="262">
        <v>2078.6134416882787</v>
      </c>
      <c r="R123" s="263">
        <v>26.69230592140493</v>
      </c>
      <c r="S123" s="132">
        <f t="shared" si="36"/>
        <v>0.8354270868225007</v>
      </c>
      <c r="T123" s="141">
        <f t="shared" si="42"/>
        <v>79.36557324813757</v>
      </c>
      <c r="U123" s="144">
        <f t="shared" si="31"/>
        <v>43.47826086956522</v>
      </c>
      <c r="V123" s="6">
        <f t="shared" si="41"/>
        <v>1649.7034736087442</v>
      </c>
      <c r="W123" s="6">
        <f t="shared" si="37"/>
        <v>1904.8684416882788</v>
      </c>
      <c r="X123" s="6">
        <f t="shared" si="38"/>
        <v>43.81197415883041</v>
      </c>
      <c r="Y123" s="293">
        <f t="shared" si="26"/>
        <v>1</v>
      </c>
      <c r="Z123" s="296">
        <f t="shared" si="39"/>
        <v>0.3693747606872758</v>
      </c>
      <c r="AA123" s="61"/>
      <c r="AB123" s="57"/>
      <c r="AC123" s="57"/>
      <c r="AD123" s="57"/>
      <c r="AE123" s="57"/>
    </row>
    <row r="124" spans="1:31" ht="15.75" customHeight="1" thickBot="1">
      <c r="A124" s="57"/>
      <c r="B124" s="100"/>
      <c r="C124" s="93"/>
      <c r="D124" s="93"/>
      <c r="E124" s="93"/>
      <c r="F124" s="93"/>
      <c r="G124" s="93"/>
      <c r="H124" s="140"/>
      <c r="I124" s="57"/>
      <c r="J124" s="286">
        <f t="shared" si="40"/>
        <v>0.45000000000000034</v>
      </c>
      <c r="K124" s="133">
        <f t="shared" si="32"/>
        <v>4.2777777777777715</v>
      </c>
      <c r="L124" s="134">
        <f t="shared" si="33"/>
        <v>-3.5</v>
      </c>
      <c r="M124" s="135">
        <f t="shared" si="34"/>
        <v>42.750000000000036</v>
      </c>
      <c r="N124" s="142">
        <f>$D$58/L124*M124</f>
        <v>24.42857142857145</v>
      </c>
      <c r="O124" s="135">
        <f>IF(M124&gt;N124,M124-N124,0)</f>
        <v>18.321428571428587</v>
      </c>
      <c r="P124" s="264">
        <v>0.8639576260913195</v>
      </c>
      <c r="Q124" s="265">
        <v>2092.937349206221</v>
      </c>
      <c r="R124" s="264">
        <v>26.98537636880501</v>
      </c>
      <c r="S124" s="134">
        <f t="shared" si="36"/>
        <v>0.8340565933558419</v>
      </c>
      <c r="T124" s="143">
        <f t="shared" si="42"/>
        <v>79.23537636880498</v>
      </c>
      <c r="U124" s="145">
        <f t="shared" si="31"/>
        <v>43.47826086956522</v>
      </c>
      <c r="V124" s="135">
        <f t="shared" si="41"/>
        <v>1658.346785806839</v>
      </c>
      <c r="W124" s="135">
        <f t="shared" si="37"/>
        <v>1919.192349206221</v>
      </c>
      <c r="X124" s="210">
        <f t="shared" si="38"/>
        <v>44.141424031743085</v>
      </c>
      <c r="Y124" s="298">
        <v>1</v>
      </c>
      <c r="Z124" s="297">
        <f>-(R124-M124)/M124</f>
        <v>0.3687631258759067</v>
      </c>
      <c r="AA124" s="61"/>
      <c r="AB124" s="57"/>
      <c r="AC124" s="57"/>
      <c r="AD124" s="57"/>
      <c r="AE124" s="57"/>
    </row>
    <row r="125" spans="1:31" ht="15.75" customHeight="1" thickBo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</row>
    <row r="126" spans="1:31" ht="15.75" customHeight="1">
      <c r="A126" s="57"/>
      <c r="B126" s="281" t="s">
        <v>260</v>
      </c>
      <c r="C126" s="240" t="s">
        <v>256</v>
      </c>
      <c r="D126" s="241">
        <v>0.45000000000000034</v>
      </c>
      <c r="E126" s="240" t="s">
        <v>140</v>
      </c>
      <c r="F126" s="242">
        <v>-3.5</v>
      </c>
      <c r="G126" s="240" t="s">
        <v>164</v>
      </c>
      <c r="H126" s="242">
        <v>4.2777777777777715</v>
      </c>
      <c r="I126" s="243"/>
      <c r="J126" s="240" t="s">
        <v>252</v>
      </c>
      <c r="K126" s="244">
        <f>-R2/M4*(H126-F126)+F126</f>
        <v>0.047758284600387224</v>
      </c>
      <c r="L126" s="245" t="s">
        <v>253</v>
      </c>
      <c r="M126" s="244">
        <f>(H126-F126)/M4</f>
        <v>0.0818713450292397</v>
      </c>
      <c r="N126" s="240" t="s">
        <v>183</v>
      </c>
      <c r="O126" s="246">
        <f>M4*F126/(F126-H126)</f>
        <v>42.750000000000036</v>
      </c>
      <c r="P126" s="57"/>
      <c r="Q126" s="249" t="s">
        <v>265</v>
      </c>
      <c r="R126" s="243"/>
      <c r="S126" s="250"/>
      <c r="T126" s="57"/>
      <c r="U126" s="249" t="s">
        <v>275</v>
      </c>
      <c r="V126" s="243"/>
      <c r="W126" s="243"/>
      <c r="X126" s="250"/>
      <c r="Y126" s="57"/>
      <c r="Z126" s="57"/>
      <c r="AA126" s="57"/>
      <c r="AB126" s="57"/>
      <c r="AC126" s="57"/>
      <c r="AD126" s="57"/>
      <c r="AE126" s="57"/>
    </row>
    <row r="127" spans="1:31" ht="15.75" customHeight="1">
      <c r="A127" s="57"/>
      <c r="B127" s="51" t="s">
        <v>274</v>
      </c>
      <c r="C127" s="45" t="s">
        <v>247</v>
      </c>
      <c r="D127" s="45" t="s">
        <v>248</v>
      </c>
      <c r="E127" s="45" t="s">
        <v>249</v>
      </c>
      <c r="F127" s="45" t="s">
        <v>242</v>
      </c>
      <c r="G127" s="45" t="s">
        <v>243</v>
      </c>
      <c r="H127" s="45" t="s">
        <v>250</v>
      </c>
      <c r="I127" s="45"/>
      <c r="J127" s="45" t="s">
        <v>210</v>
      </c>
      <c r="K127" s="45" t="s">
        <v>251</v>
      </c>
      <c r="L127" s="45" t="s">
        <v>254</v>
      </c>
      <c r="M127" s="45" t="s">
        <v>255</v>
      </c>
      <c r="N127" s="45" t="s">
        <v>257</v>
      </c>
      <c r="O127" s="46" t="s">
        <v>259</v>
      </c>
      <c r="P127" s="57"/>
      <c r="Q127" s="251" t="s">
        <v>262</v>
      </c>
      <c r="R127" s="252" t="s">
        <v>261</v>
      </c>
      <c r="S127" s="253" t="s">
        <v>263</v>
      </c>
      <c r="T127" s="57"/>
      <c r="U127" s="282" t="s">
        <v>276</v>
      </c>
      <c r="V127" s="97">
        <f>V124</f>
        <v>1658.346785806839</v>
      </c>
      <c r="W127" s="4" t="s">
        <v>1</v>
      </c>
      <c r="X127" s="137"/>
      <c r="Y127" s="57"/>
      <c r="Z127" s="57"/>
      <c r="AA127" s="57"/>
      <c r="AB127" s="57"/>
      <c r="AC127" s="57"/>
      <c r="AD127" s="57"/>
      <c r="AE127" s="57"/>
    </row>
    <row r="128" spans="1:31" ht="15.75" customHeight="1">
      <c r="A128" s="57"/>
      <c r="B128" s="81">
        <v>1</v>
      </c>
      <c r="C128" s="76">
        <f aca="true" t="shared" si="43" ref="C128:C192">IF(B128&lt;=$P$2,$K$2,IF(B128&gt;($P$2+$P$3),$K$4,$K$4+2*$K$3-((B128-$P$2)-1)*(2*$K$3/$P$3)))</f>
        <v>70</v>
      </c>
      <c r="D128" s="76">
        <f>IF(B128&lt;=$P$2,$K$2,IF(B128&gt;($P$2+$P$3),$K$4,$K$4+2*$K$3-(B128-$P$2)*(2*$K$3/$P$3)))</f>
        <v>69.6</v>
      </c>
      <c r="E128" s="76">
        <f>(C128+D128)/2</f>
        <v>69.8</v>
      </c>
      <c r="F128" s="76">
        <f aca="true" t="shared" si="44" ref="F128:F192">IF(B128&lt;=$P$2,$Q$2,IF(B128&gt;($P$2+$P$3),$Q$4,$Q$3))</f>
        <v>0.4275</v>
      </c>
      <c r="G128" s="77">
        <f aca="true" t="shared" si="45" ref="G128:G192">E128*F128</f>
        <v>29.839499999999997</v>
      </c>
      <c r="H128" s="77">
        <f>R2</f>
        <v>-43.333333333333336</v>
      </c>
      <c r="I128" s="77"/>
      <c r="J128" s="76">
        <f>H128+F128/3*(C128+2*D128)/(C128+D128)</f>
        <v>-43.11978748806113</v>
      </c>
      <c r="K128" s="78">
        <f aca="true" t="shared" si="46" ref="K128:K159">$K$126+$M$126*J128</f>
        <v>-3.4825167144221587</v>
      </c>
      <c r="L128" s="78">
        <f>IF(K128&lt;=$D$58,-$G$58,IF(K128&gt;=0,0,-$G$58*(1-(1-K128/$D$58)^$F$58)))</f>
        <v>-1.1333333333333333</v>
      </c>
      <c r="M128" s="76">
        <f>L128*G128</f>
        <v>-33.818099999999994</v>
      </c>
      <c r="N128" s="76">
        <f>M128*J128/100</f>
        <v>14.582292852499997</v>
      </c>
      <c r="O128" s="79">
        <f>IF(K128&lt;0,-$G$58*G128,0)</f>
        <v>-33.818099999999994</v>
      </c>
      <c r="P128" s="57"/>
      <c r="Q128" s="254">
        <f>SUM(G128:G227)</f>
        <v>2137.4999999999995</v>
      </c>
      <c r="R128" s="255">
        <f>SUM(M128:M227)</f>
        <v>-2092.937349206221</v>
      </c>
      <c r="S128" s="256">
        <f>SUM(O128:O227)</f>
        <v>-2422.499999999999</v>
      </c>
      <c r="T128" s="57"/>
      <c r="U128" s="282" t="s">
        <v>277</v>
      </c>
      <c r="V128" s="97">
        <f>T124</f>
        <v>79.23537636880498</v>
      </c>
      <c r="W128" s="4" t="s">
        <v>282</v>
      </c>
      <c r="X128" s="137"/>
      <c r="Y128" s="57"/>
      <c r="Z128" s="57"/>
      <c r="AA128" s="57"/>
      <c r="AB128" s="57"/>
      <c r="AC128" s="57"/>
      <c r="AD128" s="57"/>
      <c r="AE128" s="57"/>
    </row>
    <row r="129" spans="1:31" ht="15.75" customHeight="1">
      <c r="A129" s="57"/>
      <c r="B129" s="63">
        <v>2</v>
      </c>
      <c r="C129" s="76">
        <f t="shared" si="43"/>
        <v>69.6</v>
      </c>
      <c r="D129" s="76">
        <f aca="true" t="shared" si="47" ref="D129:D192">IF(B129&lt;=$P$2,$K$2,IF(B129&gt;($P$2+$P$3),$K$4,$K$4+2*$K$3-(B129-$P$2)*(2*$K$3/$P$3)))</f>
        <v>69.2</v>
      </c>
      <c r="E129" s="76">
        <f aca="true" t="shared" si="48" ref="E129:E192">(C129+D129)/2</f>
        <v>69.4</v>
      </c>
      <c r="F129" s="76">
        <f t="shared" si="44"/>
        <v>0.4275</v>
      </c>
      <c r="G129" s="77">
        <f t="shared" si="45"/>
        <v>29.6685</v>
      </c>
      <c r="H129" s="77">
        <f>H128+F129</f>
        <v>-42.905833333333334</v>
      </c>
      <c r="I129" s="77"/>
      <c r="J129" s="76">
        <f aca="true" t="shared" si="49" ref="J129:J192">H129+F129/3*(C129+2*D129)/(C129+D129)</f>
        <v>-42.69228866474544</v>
      </c>
      <c r="K129" s="78">
        <f t="shared" si="46"/>
        <v>-3.447516810758886</v>
      </c>
      <c r="L129" s="78">
        <f aca="true" t="shared" si="50" ref="L129:L192">IF(K129&lt;=$D$58,-$G$58,IF(K129&gt;=0,0,-$G$58*(1-(1-K129/$D$58)^$F$58)))</f>
        <v>-1.1333333333333333</v>
      </c>
      <c r="M129" s="76">
        <f aca="true" t="shared" si="51" ref="M129:M192">L129*G129</f>
        <v>-33.6243</v>
      </c>
      <c r="N129" s="76">
        <f aca="true" t="shared" si="52" ref="N129:N192">M129*J129/100</f>
        <v>14.354983217500001</v>
      </c>
      <c r="O129" s="79">
        <f aca="true" t="shared" si="53" ref="O129:O192">IF(K129&lt;0,-$G$58*G129,0)</f>
        <v>-33.6243</v>
      </c>
      <c r="P129" s="57"/>
      <c r="Q129" s="81"/>
      <c r="R129" s="5"/>
      <c r="S129" s="72"/>
      <c r="T129" s="57"/>
      <c r="U129" s="282" t="s">
        <v>278</v>
      </c>
      <c r="V129" s="97">
        <f>M124</f>
        <v>42.750000000000036</v>
      </c>
      <c r="W129" s="4" t="s">
        <v>282</v>
      </c>
      <c r="X129" s="137"/>
      <c r="Y129" s="57"/>
      <c r="Z129" s="57"/>
      <c r="AA129" s="57"/>
      <c r="AB129" s="57"/>
      <c r="AC129" s="57"/>
      <c r="AD129" s="57"/>
      <c r="AE129" s="57"/>
    </row>
    <row r="130" spans="1:31" ht="15.75" customHeight="1">
      <c r="A130" s="57"/>
      <c r="B130" s="81">
        <v>3</v>
      </c>
      <c r="C130" s="76">
        <f t="shared" si="43"/>
        <v>69.2</v>
      </c>
      <c r="D130" s="76">
        <f t="shared" si="47"/>
        <v>68.8</v>
      </c>
      <c r="E130" s="76">
        <f t="shared" si="48"/>
        <v>69</v>
      </c>
      <c r="F130" s="76">
        <f t="shared" si="44"/>
        <v>0.4275</v>
      </c>
      <c r="G130" s="77">
        <f t="shared" si="45"/>
        <v>29.4975</v>
      </c>
      <c r="H130" s="77">
        <f aca="true" t="shared" si="54" ref="H130:H193">H129+F130</f>
        <v>-42.47833333333333</v>
      </c>
      <c r="I130" s="77"/>
      <c r="J130" s="76">
        <f t="shared" si="49"/>
        <v>-42.264789855072465</v>
      </c>
      <c r="K130" s="78">
        <f t="shared" si="46"/>
        <v>-3.4125169082125604</v>
      </c>
      <c r="L130" s="78">
        <f t="shared" si="50"/>
        <v>-1.1333333333333333</v>
      </c>
      <c r="M130" s="76">
        <f t="shared" si="51"/>
        <v>-33.430499999999995</v>
      </c>
      <c r="N130" s="76">
        <f t="shared" si="52"/>
        <v>14.129330572499999</v>
      </c>
      <c r="O130" s="79">
        <f t="shared" si="53"/>
        <v>-33.430499999999995</v>
      </c>
      <c r="P130" s="57"/>
      <c r="Q130" s="51" t="s">
        <v>6</v>
      </c>
      <c r="R130" s="252" t="s">
        <v>264</v>
      </c>
      <c r="S130" s="46" t="s">
        <v>153</v>
      </c>
      <c r="T130" s="57"/>
      <c r="U130" s="283" t="s">
        <v>279</v>
      </c>
      <c r="V130" s="97">
        <f>K12-V127</f>
        <v>-1057.3425358068391</v>
      </c>
      <c r="W130" s="4" t="s">
        <v>1</v>
      </c>
      <c r="X130" s="137"/>
      <c r="Y130" s="57"/>
      <c r="Z130" s="57"/>
      <c r="AA130" s="57"/>
      <c r="AB130" s="57"/>
      <c r="AC130" s="57"/>
      <c r="AD130" s="57"/>
      <c r="AE130" s="57"/>
    </row>
    <row r="131" spans="1:31" ht="15.75" customHeight="1">
      <c r="A131" s="57"/>
      <c r="B131" s="63">
        <v>4</v>
      </c>
      <c r="C131" s="76">
        <f t="shared" si="43"/>
        <v>68.8</v>
      </c>
      <c r="D131" s="76">
        <f t="shared" si="47"/>
        <v>68.4</v>
      </c>
      <c r="E131" s="76">
        <f t="shared" si="48"/>
        <v>68.6</v>
      </c>
      <c r="F131" s="76">
        <f t="shared" si="44"/>
        <v>0.4275</v>
      </c>
      <c r="G131" s="77">
        <f t="shared" si="45"/>
        <v>29.326499999999996</v>
      </c>
      <c r="H131" s="77">
        <f t="shared" si="54"/>
        <v>-42.05083333333333</v>
      </c>
      <c r="I131" s="77"/>
      <c r="J131" s="76">
        <f t="shared" si="49"/>
        <v>-41.83729105928085</v>
      </c>
      <c r="K131" s="78">
        <f t="shared" si="46"/>
        <v>-3.3775170068027207</v>
      </c>
      <c r="L131" s="78">
        <f t="shared" si="50"/>
        <v>-1.1333333333333333</v>
      </c>
      <c r="M131" s="76">
        <f t="shared" si="51"/>
        <v>-33.23669999999999</v>
      </c>
      <c r="N131" s="76">
        <f t="shared" si="52"/>
        <v>13.905334917499994</v>
      </c>
      <c r="O131" s="79">
        <f t="shared" si="53"/>
        <v>-33.23669999999999</v>
      </c>
      <c r="P131" s="57"/>
      <c r="Q131" s="257">
        <f>R128/S128</f>
        <v>0.8639576260913195</v>
      </c>
      <c r="R131" s="255">
        <f>SUM(N128:N227)</f>
        <v>576.9958220502918</v>
      </c>
      <c r="S131" s="258">
        <f>R131/R128*100</f>
        <v>-27.56870970213831</v>
      </c>
      <c r="T131" s="57"/>
      <c r="U131" s="81" t="s">
        <v>281</v>
      </c>
      <c r="V131" s="4"/>
      <c r="W131" s="4"/>
      <c r="X131" s="137"/>
      <c r="Y131" s="57"/>
      <c r="Z131" s="57"/>
      <c r="AA131" s="57"/>
      <c r="AB131" s="57"/>
      <c r="AC131" s="57"/>
      <c r="AD131" s="57"/>
      <c r="AE131" s="57"/>
    </row>
    <row r="132" spans="1:31" ht="15.75" customHeight="1">
      <c r="A132" s="57"/>
      <c r="B132" s="81">
        <v>5</v>
      </c>
      <c r="C132" s="76">
        <f t="shared" si="43"/>
        <v>68.4</v>
      </c>
      <c r="D132" s="76">
        <f t="shared" si="47"/>
        <v>68</v>
      </c>
      <c r="E132" s="76">
        <f t="shared" si="48"/>
        <v>68.2</v>
      </c>
      <c r="F132" s="76">
        <f t="shared" si="44"/>
        <v>0.4275</v>
      </c>
      <c r="G132" s="77">
        <f t="shared" si="45"/>
        <v>29.1555</v>
      </c>
      <c r="H132" s="77">
        <f t="shared" si="54"/>
        <v>-41.62333333333333</v>
      </c>
      <c r="I132" s="77"/>
      <c r="J132" s="76">
        <f t="shared" si="49"/>
        <v>-41.409792277614855</v>
      </c>
      <c r="K132" s="78">
        <f t="shared" si="46"/>
        <v>-3.3425171065493644</v>
      </c>
      <c r="L132" s="78">
        <f t="shared" si="50"/>
        <v>-1.1333333333333333</v>
      </c>
      <c r="M132" s="76">
        <f t="shared" si="51"/>
        <v>-33.042899999999996</v>
      </c>
      <c r="N132" s="76">
        <f t="shared" si="52"/>
        <v>13.682996252499997</v>
      </c>
      <c r="O132" s="79">
        <f t="shared" si="53"/>
        <v>-33.042899999999996</v>
      </c>
      <c r="P132" s="57"/>
      <c r="Q132" s="81"/>
      <c r="R132" s="5"/>
      <c r="S132" s="72"/>
      <c r="T132" s="57"/>
      <c r="U132" s="136" t="str">
        <f>IF(V130&lt;0,"Nein =","Ja =")</f>
        <v>Nein =</v>
      </c>
      <c r="V132" s="285">
        <f>IF(V130&lt;0,0,1)</f>
        <v>0</v>
      </c>
      <c r="W132" s="4"/>
      <c r="X132" s="137"/>
      <c r="Y132" s="57"/>
      <c r="Z132" s="57"/>
      <c r="AA132" s="57"/>
      <c r="AB132" s="57"/>
      <c r="AC132" s="57"/>
      <c r="AD132" s="57"/>
      <c r="AE132" s="57"/>
    </row>
    <row r="133" spans="1:31" ht="15.75" customHeight="1">
      <c r="A133" s="57"/>
      <c r="B133" s="63">
        <v>6</v>
      </c>
      <c r="C133" s="76">
        <f t="shared" si="43"/>
        <v>68</v>
      </c>
      <c r="D133" s="76">
        <f t="shared" si="47"/>
        <v>67.6</v>
      </c>
      <c r="E133" s="76">
        <f t="shared" si="48"/>
        <v>67.8</v>
      </c>
      <c r="F133" s="76">
        <f t="shared" si="44"/>
        <v>0.4275</v>
      </c>
      <c r="G133" s="77">
        <f t="shared" si="45"/>
        <v>28.984499999999997</v>
      </c>
      <c r="H133" s="77">
        <f t="shared" si="54"/>
        <v>-41.195833333333326</v>
      </c>
      <c r="I133" s="77"/>
      <c r="J133" s="76">
        <f t="shared" si="49"/>
        <v>-40.982293510324475</v>
      </c>
      <c r="K133" s="78">
        <f t="shared" si="46"/>
        <v>-3.307517207472959</v>
      </c>
      <c r="L133" s="78">
        <f t="shared" si="50"/>
        <v>-1.1333333333333333</v>
      </c>
      <c r="M133" s="76">
        <f t="shared" si="51"/>
        <v>-32.84909999999999</v>
      </c>
      <c r="N133" s="76">
        <f t="shared" si="52"/>
        <v>13.462314577499994</v>
      </c>
      <c r="O133" s="79">
        <f t="shared" si="53"/>
        <v>-32.84909999999999</v>
      </c>
      <c r="P133" s="57"/>
      <c r="Q133" s="51" t="s">
        <v>258</v>
      </c>
      <c r="R133" s="45" t="s">
        <v>135</v>
      </c>
      <c r="S133" s="46" t="s">
        <v>7</v>
      </c>
      <c r="T133" s="57"/>
      <c r="U133" s="136" t="s">
        <v>296</v>
      </c>
      <c r="V133" s="97">
        <f>M5</f>
        <v>89</v>
      </c>
      <c r="W133" s="4" t="s">
        <v>282</v>
      </c>
      <c r="X133" s="137"/>
      <c r="Y133" s="57"/>
      <c r="Z133" s="57"/>
      <c r="AA133" s="57"/>
      <c r="AB133" s="57"/>
      <c r="AC133" s="57"/>
      <c r="AD133" s="57"/>
      <c r="AE133" s="57"/>
    </row>
    <row r="134" spans="1:31" ht="15.75" customHeight="1">
      <c r="A134" s="57"/>
      <c r="B134" s="81">
        <v>7</v>
      </c>
      <c r="C134" s="76">
        <f t="shared" si="43"/>
        <v>67.6</v>
      </c>
      <c r="D134" s="76">
        <f t="shared" si="47"/>
        <v>67.2</v>
      </c>
      <c r="E134" s="76">
        <f t="shared" si="48"/>
        <v>67.4</v>
      </c>
      <c r="F134" s="76">
        <f t="shared" si="44"/>
        <v>0.4275</v>
      </c>
      <c r="G134" s="77">
        <f t="shared" si="45"/>
        <v>28.8135</v>
      </c>
      <c r="H134" s="77">
        <f t="shared" si="54"/>
        <v>-40.768333333333324</v>
      </c>
      <c r="I134" s="77"/>
      <c r="J134" s="76">
        <f t="shared" si="49"/>
        <v>-40.55479475766567</v>
      </c>
      <c r="K134" s="78">
        <f t="shared" si="46"/>
        <v>-3.2725173095944604</v>
      </c>
      <c r="L134" s="78">
        <f t="shared" si="50"/>
        <v>-1.1333333333333333</v>
      </c>
      <c r="M134" s="76">
        <f t="shared" si="51"/>
        <v>-32.655300000000004</v>
      </c>
      <c r="N134" s="76">
        <f t="shared" si="52"/>
        <v>13.2432898925</v>
      </c>
      <c r="O134" s="79">
        <f t="shared" si="53"/>
        <v>-32.655300000000004</v>
      </c>
      <c r="P134" s="57"/>
      <c r="Q134" s="259">
        <f>S131-R2</f>
        <v>15.764623631195025</v>
      </c>
      <c r="R134" s="52">
        <f>M6-S131</f>
        <v>79.23537636880498</v>
      </c>
      <c r="S134" s="260">
        <f>R134/M4</f>
        <v>0.8340565933558419</v>
      </c>
      <c r="T134" s="57"/>
      <c r="U134" s="283" t="s">
        <v>283</v>
      </c>
      <c r="V134" s="97">
        <f>V132*V130/V133*100</f>
        <v>0</v>
      </c>
      <c r="W134" s="4" t="s">
        <v>0</v>
      </c>
      <c r="X134" s="137" t="s">
        <v>291</v>
      </c>
      <c r="Y134" s="57"/>
      <c r="Z134" s="57"/>
      <c r="AA134" s="57"/>
      <c r="AB134" s="57"/>
      <c r="AC134" s="57"/>
      <c r="AD134" s="57"/>
      <c r="AE134" s="57"/>
    </row>
    <row r="135" spans="1:31" ht="15.75" customHeight="1">
      <c r="A135" s="57"/>
      <c r="B135" s="63">
        <v>8</v>
      </c>
      <c r="C135" s="76">
        <f t="shared" si="43"/>
        <v>67.2</v>
      </c>
      <c r="D135" s="76">
        <f t="shared" si="47"/>
        <v>66.8</v>
      </c>
      <c r="E135" s="76">
        <f t="shared" si="48"/>
        <v>67</v>
      </c>
      <c r="F135" s="76">
        <f t="shared" si="44"/>
        <v>0.4275</v>
      </c>
      <c r="G135" s="77">
        <f t="shared" si="45"/>
        <v>28.6425</v>
      </c>
      <c r="H135" s="77">
        <f t="shared" si="54"/>
        <v>-40.34083333333332</v>
      </c>
      <c r="I135" s="77"/>
      <c r="J135" s="76">
        <f t="shared" si="49"/>
        <v>-40.127296019900484</v>
      </c>
      <c r="K135" s="78">
        <f t="shared" si="46"/>
        <v>-3.2375174129353224</v>
      </c>
      <c r="L135" s="78">
        <f t="shared" si="50"/>
        <v>-1.1333333333333333</v>
      </c>
      <c r="M135" s="76">
        <f t="shared" si="51"/>
        <v>-32.461499999999994</v>
      </c>
      <c r="N135" s="76">
        <f t="shared" si="52"/>
        <v>13.025922197499993</v>
      </c>
      <c r="O135" s="79">
        <f t="shared" si="53"/>
        <v>-32.461499999999994</v>
      </c>
      <c r="P135" s="57"/>
      <c r="Q135" s="81"/>
      <c r="R135" s="5"/>
      <c r="S135" s="72"/>
      <c r="T135" s="57"/>
      <c r="U135" s="283" t="s">
        <v>284</v>
      </c>
      <c r="V135" s="97">
        <f>-V134</f>
        <v>0</v>
      </c>
      <c r="W135" s="4" t="s">
        <v>0</v>
      </c>
      <c r="X135" s="137" t="s">
        <v>292</v>
      </c>
      <c r="Y135" s="57"/>
      <c r="Z135" s="57"/>
      <c r="AA135" s="57"/>
      <c r="AB135" s="57"/>
      <c r="AC135" s="57"/>
      <c r="AD135" s="57"/>
      <c r="AE135" s="57"/>
    </row>
    <row r="136" spans="1:31" ht="15.75" customHeight="1">
      <c r="A136" s="57"/>
      <c r="B136" s="81">
        <v>9</v>
      </c>
      <c r="C136" s="76">
        <f t="shared" si="43"/>
        <v>66.8</v>
      </c>
      <c r="D136" s="76">
        <f t="shared" si="47"/>
        <v>66.4</v>
      </c>
      <c r="E136" s="76">
        <f t="shared" si="48"/>
        <v>66.6</v>
      </c>
      <c r="F136" s="76">
        <f t="shared" si="44"/>
        <v>0.4275</v>
      </c>
      <c r="G136" s="77">
        <f t="shared" si="45"/>
        <v>28.471499999999995</v>
      </c>
      <c r="H136" s="77">
        <f t="shared" si="54"/>
        <v>-39.91333333333332</v>
      </c>
      <c r="I136" s="77"/>
      <c r="J136" s="76">
        <f t="shared" si="49"/>
        <v>-39.69979729729728</v>
      </c>
      <c r="K136" s="78">
        <f t="shared" si="46"/>
        <v>-3.2025175175175162</v>
      </c>
      <c r="L136" s="78">
        <f t="shared" si="50"/>
        <v>-1.1333333333333333</v>
      </c>
      <c r="M136" s="76">
        <f t="shared" si="51"/>
        <v>-32.26769999999999</v>
      </c>
      <c r="N136" s="76">
        <f t="shared" si="52"/>
        <v>12.810211492499992</v>
      </c>
      <c r="O136" s="79">
        <f t="shared" si="53"/>
        <v>-32.26769999999999</v>
      </c>
      <c r="P136" s="57"/>
      <c r="Q136" s="51" t="s">
        <v>134</v>
      </c>
      <c r="R136" s="45" t="s">
        <v>266</v>
      </c>
      <c r="S136" s="72"/>
      <c r="T136" s="57"/>
      <c r="U136" s="282" t="s">
        <v>164</v>
      </c>
      <c r="V136" s="97">
        <f>K124</f>
        <v>4.2777777777777715</v>
      </c>
      <c r="W136" s="4" t="s">
        <v>23</v>
      </c>
      <c r="X136" s="137" t="s">
        <v>289</v>
      </c>
      <c r="Y136" s="57"/>
      <c r="Z136" s="57"/>
      <c r="AA136" s="57"/>
      <c r="AB136" s="57"/>
      <c r="AC136" s="57"/>
      <c r="AD136" s="57"/>
      <c r="AE136" s="57"/>
    </row>
    <row r="137" spans="1:31" ht="15.75" customHeight="1">
      <c r="A137" s="57"/>
      <c r="B137" s="63">
        <v>10</v>
      </c>
      <c r="C137" s="76">
        <f t="shared" si="43"/>
        <v>66.4</v>
      </c>
      <c r="D137" s="76">
        <f t="shared" si="47"/>
        <v>66</v>
      </c>
      <c r="E137" s="76">
        <f t="shared" si="48"/>
        <v>66.2</v>
      </c>
      <c r="F137" s="76">
        <f t="shared" si="44"/>
        <v>0.4275</v>
      </c>
      <c r="G137" s="77">
        <f t="shared" si="45"/>
        <v>28.3005</v>
      </c>
      <c r="H137" s="77">
        <f t="shared" si="54"/>
        <v>-39.48583333333332</v>
      </c>
      <c r="I137" s="77"/>
      <c r="J137" s="76">
        <f t="shared" si="49"/>
        <v>-39.2722985901309</v>
      </c>
      <c r="K137" s="78">
        <f t="shared" si="46"/>
        <v>-3.167517623363544</v>
      </c>
      <c r="L137" s="78">
        <f t="shared" si="50"/>
        <v>-1.1333333333333333</v>
      </c>
      <c r="M137" s="76">
        <f t="shared" si="51"/>
        <v>-32.0739</v>
      </c>
      <c r="N137" s="76">
        <f t="shared" si="52"/>
        <v>12.596157777499995</v>
      </c>
      <c r="O137" s="79">
        <f t="shared" si="53"/>
        <v>-32.0739</v>
      </c>
      <c r="P137" s="57"/>
      <c r="Q137" s="259">
        <f>O126</f>
        <v>42.750000000000036</v>
      </c>
      <c r="R137" s="52">
        <f>O126-Q134</f>
        <v>26.98537636880501</v>
      </c>
      <c r="S137" s="72"/>
      <c r="T137" s="57"/>
      <c r="U137" s="282" t="s">
        <v>186</v>
      </c>
      <c r="V137" s="97">
        <f>V133/M4*(L124-K124)+K124</f>
        <v>-3.0087719298245617</v>
      </c>
      <c r="W137" s="4" t="s">
        <v>23</v>
      </c>
      <c r="X137" s="137" t="s">
        <v>290</v>
      </c>
      <c r="Y137" s="57"/>
      <c r="Z137" s="57"/>
      <c r="AA137" s="57"/>
      <c r="AB137" s="57"/>
      <c r="AC137" s="57"/>
      <c r="AD137" s="57"/>
      <c r="AE137" s="57"/>
    </row>
    <row r="138" spans="1:31" ht="15.75" customHeight="1" thickBot="1">
      <c r="A138" s="57"/>
      <c r="B138" s="81">
        <v>11</v>
      </c>
      <c r="C138" s="76">
        <f t="shared" si="43"/>
        <v>66</v>
      </c>
      <c r="D138" s="76">
        <f t="shared" si="47"/>
        <v>65.6</v>
      </c>
      <c r="E138" s="76">
        <f t="shared" si="48"/>
        <v>65.8</v>
      </c>
      <c r="F138" s="76">
        <f t="shared" si="44"/>
        <v>0.4275</v>
      </c>
      <c r="G138" s="77">
        <f t="shared" si="45"/>
        <v>28.129499999999997</v>
      </c>
      <c r="H138" s="77">
        <f t="shared" si="54"/>
        <v>-39.058333333333316</v>
      </c>
      <c r="I138" s="77"/>
      <c r="J138" s="76">
        <f t="shared" si="49"/>
        <v>-38.84479989868286</v>
      </c>
      <c r="K138" s="78">
        <f t="shared" si="46"/>
        <v>-3.1325177304964527</v>
      </c>
      <c r="L138" s="78">
        <f t="shared" si="50"/>
        <v>-1.1333333333333333</v>
      </c>
      <c r="M138" s="76">
        <f t="shared" si="51"/>
        <v>-31.880099999999995</v>
      </c>
      <c r="N138" s="76">
        <f t="shared" si="52"/>
        <v>12.383761052499992</v>
      </c>
      <c r="O138" s="79">
        <f t="shared" si="53"/>
        <v>-31.880099999999995</v>
      </c>
      <c r="P138" s="57"/>
      <c r="Q138" s="100"/>
      <c r="R138" s="82"/>
      <c r="S138" s="66"/>
      <c r="T138" s="57"/>
      <c r="U138" s="282" t="s">
        <v>287</v>
      </c>
      <c r="V138" s="97">
        <f>U124</f>
        <v>43.47826086956522</v>
      </c>
      <c r="W138" s="4" t="s">
        <v>21</v>
      </c>
      <c r="X138" s="137" t="s">
        <v>285</v>
      </c>
      <c r="Y138" s="57"/>
      <c r="Z138" s="57"/>
      <c r="AA138" s="57"/>
      <c r="AB138" s="57"/>
      <c r="AC138" s="57"/>
      <c r="AD138" s="57"/>
      <c r="AE138" s="57"/>
    </row>
    <row r="139" spans="1:31" ht="15.75" customHeight="1">
      <c r="A139" s="57"/>
      <c r="B139" s="63">
        <v>12</v>
      </c>
      <c r="C139" s="76">
        <f t="shared" si="43"/>
        <v>65.6</v>
      </c>
      <c r="D139" s="76">
        <f t="shared" si="47"/>
        <v>65.2</v>
      </c>
      <c r="E139" s="76">
        <f t="shared" si="48"/>
        <v>65.4</v>
      </c>
      <c r="F139" s="76">
        <f t="shared" si="44"/>
        <v>0.4275</v>
      </c>
      <c r="G139" s="77">
        <f t="shared" si="45"/>
        <v>27.9585</v>
      </c>
      <c r="H139" s="77">
        <f t="shared" si="54"/>
        <v>-38.630833333333314</v>
      </c>
      <c r="I139" s="77"/>
      <c r="J139" s="76">
        <f t="shared" si="49"/>
        <v>-38.41730122324157</v>
      </c>
      <c r="K139" s="78">
        <f t="shared" si="46"/>
        <v>-3.097517838939856</v>
      </c>
      <c r="L139" s="78">
        <f t="shared" si="50"/>
        <v>-1.1333333333333333</v>
      </c>
      <c r="M139" s="76">
        <f t="shared" si="51"/>
        <v>-31.6863</v>
      </c>
      <c r="N139" s="76">
        <f t="shared" si="52"/>
        <v>12.173021317499995</v>
      </c>
      <c r="O139" s="79">
        <f t="shared" si="53"/>
        <v>-31.6863</v>
      </c>
      <c r="P139" s="57"/>
      <c r="Q139" s="57"/>
      <c r="R139" s="57"/>
      <c r="S139" s="57"/>
      <c r="T139" s="57"/>
      <c r="U139" s="282" t="s">
        <v>288</v>
      </c>
      <c r="V139" s="128">
        <f>-IF(-V137&lt;$H$15*1000,-V137/$H$15/1000*$E$15,$E$15+($F$15-$E$15)/($H$13-$H$15)*(-V137/1000-$H$15))</f>
        <v>-43.47826086956522</v>
      </c>
      <c r="W139" s="4" t="s">
        <v>21</v>
      </c>
      <c r="X139" s="137" t="s">
        <v>286</v>
      </c>
      <c r="Y139" s="57"/>
      <c r="Z139" s="57"/>
      <c r="AA139" s="57"/>
      <c r="AB139" s="57"/>
      <c r="AC139" s="57"/>
      <c r="AD139" s="57"/>
      <c r="AE139" s="57"/>
    </row>
    <row r="140" spans="1:31" ht="15.75" customHeight="1">
      <c r="A140" s="57"/>
      <c r="B140" s="81">
        <v>13</v>
      </c>
      <c r="C140" s="76">
        <f t="shared" si="43"/>
        <v>65.2</v>
      </c>
      <c r="D140" s="76">
        <f t="shared" si="47"/>
        <v>64.8</v>
      </c>
      <c r="E140" s="76">
        <f t="shared" si="48"/>
        <v>65</v>
      </c>
      <c r="F140" s="76">
        <f t="shared" si="44"/>
        <v>0.4275</v>
      </c>
      <c r="G140" s="77">
        <f t="shared" si="45"/>
        <v>27.787499999999998</v>
      </c>
      <c r="H140" s="77">
        <f t="shared" si="54"/>
        <v>-38.20333333333331</v>
      </c>
      <c r="I140" s="77"/>
      <c r="J140" s="76">
        <f t="shared" si="49"/>
        <v>-37.98980256410254</v>
      </c>
      <c r="K140" s="78">
        <f t="shared" si="46"/>
        <v>-3.062517948717947</v>
      </c>
      <c r="L140" s="78">
        <f t="shared" si="50"/>
        <v>-1.1333333333333333</v>
      </c>
      <c r="M140" s="76">
        <f t="shared" si="51"/>
        <v>-31.492499999999996</v>
      </c>
      <c r="N140" s="76">
        <f t="shared" si="52"/>
        <v>11.963938572499991</v>
      </c>
      <c r="O140" s="79">
        <f t="shared" si="53"/>
        <v>-31.492499999999996</v>
      </c>
      <c r="P140" s="57"/>
      <c r="Q140" s="57"/>
      <c r="R140" s="57"/>
      <c r="S140" s="57"/>
      <c r="T140" s="57"/>
      <c r="U140" s="283" t="s">
        <v>293</v>
      </c>
      <c r="V140" s="97">
        <f>V134/V138</f>
        <v>0</v>
      </c>
      <c r="W140" s="4" t="s">
        <v>2</v>
      </c>
      <c r="X140" s="137" t="s">
        <v>295</v>
      </c>
      <c r="Y140" s="57"/>
      <c r="Z140" s="57"/>
      <c r="AA140" s="57"/>
      <c r="AB140" s="57"/>
      <c r="AC140" s="57"/>
      <c r="AD140" s="57"/>
      <c r="AE140" s="57"/>
    </row>
    <row r="141" spans="1:31" ht="15.75" customHeight="1">
      <c r="A141" s="57"/>
      <c r="B141" s="63">
        <v>14</v>
      </c>
      <c r="C141" s="76">
        <f t="shared" si="43"/>
        <v>64.8</v>
      </c>
      <c r="D141" s="76">
        <f t="shared" si="47"/>
        <v>64.4</v>
      </c>
      <c r="E141" s="76">
        <f t="shared" si="48"/>
        <v>64.6</v>
      </c>
      <c r="F141" s="76">
        <f t="shared" si="44"/>
        <v>0.4275</v>
      </c>
      <c r="G141" s="77">
        <f t="shared" si="45"/>
        <v>27.6165</v>
      </c>
      <c r="H141" s="77">
        <f t="shared" si="54"/>
        <v>-37.77583333333331</v>
      </c>
      <c r="I141" s="77"/>
      <c r="J141" s="76">
        <f t="shared" si="49"/>
        <v>-37.562303921568606</v>
      </c>
      <c r="K141" s="78">
        <f t="shared" si="46"/>
        <v>-3.02751805985552</v>
      </c>
      <c r="L141" s="78">
        <f t="shared" si="50"/>
        <v>-1.1333333333333333</v>
      </c>
      <c r="M141" s="76">
        <f t="shared" si="51"/>
        <v>-31.298699999999997</v>
      </c>
      <c r="N141" s="76">
        <f t="shared" si="52"/>
        <v>11.756512817499992</v>
      </c>
      <c r="O141" s="79">
        <f t="shared" si="53"/>
        <v>-31.298699999999997</v>
      </c>
      <c r="P141" s="57"/>
      <c r="Q141" s="57"/>
      <c r="R141" s="57"/>
      <c r="S141" s="57"/>
      <c r="T141" s="57"/>
      <c r="U141" s="283" t="s">
        <v>294</v>
      </c>
      <c r="V141" s="97">
        <f>V135/V139</f>
        <v>0</v>
      </c>
      <c r="W141" s="4" t="s">
        <v>2</v>
      </c>
      <c r="X141" s="137" t="s">
        <v>280</v>
      </c>
      <c r="Y141" s="57"/>
      <c r="Z141" s="57"/>
      <c r="AA141" s="57"/>
      <c r="AB141" s="57"/>
      <c r="AC141" s="57"/>
      <c r="AD141" s="57"/>
      <c r="AE141" s="57"/>
    </row>
    <row r="142" spans="1:31" ht="15.75" customHeight="1">
      <c r="A142" s="57"/>
      <c r="B142" s="81">
        <v>15</v>
      </c>
      <c r="C142" s="76">
        <f t="shared" si="43"/>
        <v>64.4</v>
      </c>
      <c r="D142" s="76">
        <f t="shared" si="47"/>
        <v>64</v>
      </c>
      <c r="E142" s="76">
        <f t="shared" si="48"/>
        <v>64.2</v>
      </c>
      <c r="F142" s="76">
        <f t="shared" si="44"/>
        <v>0.4275</v>
      </c>
      <c r="G142" s="77">
        <f t="shared" si="45"/>
        <v>27.4455</v>
      </c>
      <c r="H142" s="77">
        <f t="shared" si="54"/>
        <v>-37.34833333333331</v>
      </c>
      <c r="I142" s="77"/>
      <c r="J142" s="76">
        <f t="shared" si="49"/>
        <v>-37.13480529595013</v>
      </c>
      <c r="K142" s="78">
        <f t="shared" si="46"/>
        <v>-2.992518172377984</v>
      </c>
      <c r="L142" s="78">
        <f t="shared" si="50"/>
        <v>-1.1333333333333333</v>
      </c>
      <c r="M142" s="76">
        <f t="shared" si="51"/>
        <v>-31.104899999999997</v>
      </c>
      <c r="N142" s="76">
        <f t="shared" si="52"/>
        <v>11.55074405249999</v>
      </c>
      <c r="O142" s="79">
        <f t="shared" si="53"/>
        <v>-31.104899999999997</v>
      </c>
      <c r="P142" s="57"/>
      <c r="Q142" s="57"/>
      <c r="R142" s="57"/>
      <c r="S142" s="57"/>
      <c r="T142" s="57"/>
      <c r="U142" s="63"/>
      <c r="V142" s="4"/>
      <c r="W142" s="4"/>
      <c r="X142" s="72"/>
      <c r="Y142" s="57"/>
      <c r="Z142" s="57"/>
      <c r="AA142" s="57"/>
      <c r="AB142" s="57"/>
      <c r="AC142" s="57"/>
      <c r="AD142" s="57"/>
      <c r="AE142" s="57"/>
    </row>
    <row r="143" spans="1:31" ht="15.75" customHeight="1">
      <c r="A143" s="57"/>
      <c r="B143" s="63">
        <v>16</v>
      </c>
      <c r="C143" s="76">
        <f t="shared" si="43"/>
        <v>64</v>
      </c>
      <c r="D143" s="76">
        <f t="shared" si="47"/>
        <v>63.6</v>
      </c>
      <c r="E143" s="76">
        <f t="shared" si="48"/>
        <v>63.8</v>
      </c>
      <c r="F143" s="76">
        <f t="shared" si="44"/>
        <v>0.4275</v>
      </c>
      <c r="G143" s="77">
        <f t="shared" si="45"/>
        <v>27.2745</v>
      </c>
      <c r="H143" s="77">
        <f t="shared" si="54"/>
        <v>-36.920833333333306</v>
      </c>
      <c r="I143" s="77"/>
      <c r="J143" s="76">
        <f t="shared" si="49"/>
        <v>-36.70730668756528</v>
      </c>
      <c r="K143" s="78">
        <f t="shared" si="46"/>
        <v>-2.957518286311388</v>
      </c>
      <c r="L143" s="78">
        <f t="shared" si="50"/>
        <v>-1.1333333333333333</v>
      </c>
      <c r="M143" s="76">
        <f t="shared" si="51"/>
        <v>-30.911099999999998</v>
      </c>
      <c r="N143" s="76">
        <f t="shared" si="52"/>
        <v>11.346632277499989</v>
      </c>
      <c r="O143" s="79">
        <f t="shared" si="53"/>
        <v>-30.911099999999998</v>
      </c>
      <c r="P143" s="57"/>
      <c r="Q143" s="57"/>
      <c r="R143" s="57"/>
      <c r="S143" s="57"/>
      <c r="T143" s="57"/>
      <c r="U143" s="282" t="s">
        <v>149</v>
      </c>
      <c r="V143" s="97">
        <f>V140+X21</f>
        <v>11.7285112047677</v>
      </c>
      <c r="W143" s="4" t="s">
        <v>2</v>
      </c>
      <c r="X143" s="137" t="s">
        <v>295</v>
      </c>
      <c r="Y143" s="57"/>
      <c r="Z143" s="57"/>
      <c r="AA143" s="57"/>
      <c r="AB143" s="57"/>
      <c r="AC143" s="57"/>
      <c r="AD143" s="57"/>
      <c r="AE143" s="57"/>
    </row>
    <row r="144" spans="1:31" ht="15.75" customHeight="1" thickBot="1">
      <c r="A144" s="57"/>
      <c r="B144" s="81">
        <v>17</v>
      </c>
      <c r="C144" s="76">
        <f t="shared" si="43"/>
        <v>63.6</v>
      </c>
      <c r="D144" s="76">
        <f t="shared" si="47"/>
        <v>63.2</v>
      </c>
      <c r="E144" s="76">
        <f t="shared" si="48"/>
        <v>63.400000000000006</v>
      </c>
      <c r="F144" s="76">
        <f t="shared" si="44"/>
        <v>0.4275</v>
      </c>
      <c r="G144" s="77">
        <f t="shared" si="45"/>
        <v>27.1035</v>
      </c>
      <c r="H144" s="77">
        <f t="shared" si="54"/>
        <v>-36.493333333333304</v>
      </c>
      <c r="I144" s="77"/>
      <c r="J144" s="76">
        <f t="shared" si="49"/>
        <v>-36.27980809674025</v>
      </c>
      <c r="K144" s="78">
        <f t="shared" si="46"/>
        <v>-2.9225184016824377</v>
      </c>
      <c r="L144" s="78">
        <f t="shared" si="50"/>
        <v>-1.1333333333333333</v>
      </c>
      <c r="M144" s="76">
        <f t="shared" si="51"/>
        <v>-30.717299999999998</v>
      </c>
      <c r="N144" s="76">
        <f t="shared" si="52"/>
        <v>11.144177492499992</v>
      </c>
      <c r="O144" s="79">
        <f t="shared" si="53"/>
        <v>-30.717299999999998</v>
      </c>
      <c r="P144" s="57"/>
      <c r="Q144" s="57"/>
      <c r="R144" s="57"/>
      <c r="S144" s="57"/>
      <c r="T144" s="57"/>
      <c r="U144" s="284" t="s">
        <v>150</v>
      </c>
      <c r="V144" s="198">
        <f>V141</f>
        <v>0</v>
      </c>
      <c r="W144" s="93" t="s">
        <v>2</v>
      </c>
      <c r="X144" s="140" t="s">
        <v>280</v>
      </c>
      <c r="Y144" s="57"/>
      <c r="Z144" s="57"/>
      <c r="AA144" s="57"/>
      <c r="AB144" s="57"/>
      <c r="AC144" s="57"/>
      <c r="AD144" s="57"/>
      <c r="AE144" s="57"/>
    </row>
    <row r="145" spans="1:31" ht="15.75" customHeight="1">
      <c r="A145" s="57"/>
      <c r="B145" s="63">
        <v>18</v>
      </c>
      <c r="C145" s="76">
        <f t="shared" si="43"/>
        <v>63.2</v>
      </c>
      <c r="D145" s="76">
        <f t="shared" si="47"/>
        <v>62.8</v>
      </c>
      <c r="E145" s="76">
        <f t="shared" si="48"/>
        <v>63</v>
      </c>
      <c r="F145" s="76">
        <f t="shared" si="44"/>
        <v>0.4275</v>
      </c>
      <c r="G145" s="77">
        <f t="shared" si="45"/>
        <v>26.9325</v>
      </c>
      <c r="H145" s="77">
        <f t="shared" si="54"/>
        <v>-36.0658333333333</v>
      </c>
      <c r="I145" s="77"/>
      <c r="J145" s="76">
        <f t="shared" si="49"/>
        <v>-35.852309523809495</v>
      </c>
      <c r="K145" s="78">
        <f t="shared" si="46"/>
        <v>-2.8875185185185166</v>
      </c>
      <c r="L145" s="78">
        <f t="shared" si="50"/>
        <v>-1.1333333333333333</v>
      </c>
      <c r="M145" s="76">
        <f t="shared" si="51"/>
        <v>-30.523500000000002</v>
      </c>
      <c r="N145" s="76">
        <f t="shared" si="52"/>
        <v>10.943379697499992</v>
      </c>
      <c r="O145" s="79">
        <f t="shared" si="53"/>
        <v>-30.523500000000002</v>
      </c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</row>
    <row r="146" spans="1:31" ht="15.75" customHeight="1">
      <c r="A146" s="57"/>
      <c r="B146" s="81">
        <v>19</v>
      </c>
      <c r="C146" s="76">
        <f t="shared" si="43"/>
        <v>62.8</v>
      </c>
      <c r="D146" s="76">
        <f t="shared" si="47"/>
        <v>62.4</v>
      </c>
      <c r="E146" s="76">
        <f t="shared" si="48"/>
        <v>62.599999999999994</v>
      </c>
      <c r="F146" s="76">
        <f t="shared" si="44"/>
        <v>0.4275</v>
      </c>
      <c r="G146" s="77">
        <f t="shared" si="45"/>
        <v>26.761499999999998</v>
      </c>
      <c r="H146" s="77">
        <f t="shared" si="54"/>
        <v>-35.6383333333333</v>
      </c>
      <c r="I146" s="77"/>
      <c r="J146" s="76">
        <f t="shared" si="49"/>
        <v>-35.424810969116045</v>
      </c>
      <c r="K146" s="78">
        <f t="shared" si="46"/>
        <v>-2.852518636847708</v>
      </c>
      <c r="L146" s="78">
        <f t="shared" si="50"/>
        <v>-1.1333333333333333</v>
      </c>
      <c r="M146" s="76">
        <f t="shared" si="51"/>
        <v>-30.329699999999995</v>
      </c>
      <c r="N146" s="76">
        <f t="shared" si="52"/>
        <v>10.744238892499988</v>
      </c>
      <c r="O146" s="79">
        <f t="shared" si="53"/>
        <v>-30.329699999999995</v>
      </c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</row>
    <row r="147" spans="1:31" ht="15.75" customHeight="1">
      <c r="A147" s="57"/>
      <c r="B147" s="63">
        <v>20</v>
      </c>
      <c r="C147" s="76">
        <f t="shared" si="43"/>
        <v>62.4</v>
      </c>
      <c r="D147" s="76">
        <f t="shared" si="47"/>
        <v>62</v>
      </c>
      <c r="E147" s="76">
        <f t="shared" si="48"/>
        <v>62.2</v>
      </c>
      <c r="F147" s="76">
        <f t="shared" si="44"/>
        <v>0.4275</v>
      </c>
      <c r="G147" s="77">
        <f t="shared" si="45"/>
        <v>26.590500000000002</v>
      </c>
      <c r="H147" s="77">
        <f t="shared" si="54"/>
        <v>-35.2108333333333</v>
      </c>
      <c r="I147" s="77"/>
      <c r="J147" s="76">
        <f t="shared" si="49"/>
        <v>-34.99731243301176</v>
      </c>
      <c r="K147" s="78">
        <f t="shared" si="46"/>
        <v>-2.817518756698819</v>
      </c>
      <c r="L147" s="78">
        <f t="shared" si="50"/>
        <v>-1.1333333333333333</v>
      </c>
      <c r="M147" s="76">
        <f t="shared" si="51"/>
        <v>-30.135900000000003</v>
      </c>
      <c r="N147" s="76">
        <f t="shared" si="52"/>
        <v>10.54675507749999</v>
      </c>
      <c r="O147" s="79">
        <f t="shared" si="53"/>
        <v>-30.135900000000003</v>
      </c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</row>
    <row r="148" spans="1:31" ht="15.75" customHeight="1">
      <c r="A148" s="57"/>
      <c r="B148" s="81">
        <v>21</v>
      </c>
      <c r="C148" s="76">
        <f t="shared" si="43"/>
        <v>62</v>
      </c>
      <c r="D148" s="76">
        <f t="shared" si="47"/>
        <v>61.6</v>
      </c>
      <c r="E148" s="76">
        <f t="shared" si="48"/>
        <v>61.8</v>
      </c>
      <c r="F148" s="76">
        <f t="shared" si="44"/>
        <v>0.4275</v>
      </c>
      <c r="G148" s="77">
        <f t="shared" si="45"/>
        <v>26.4195</v>
      </c>
      <c r="H148" s="77">
        <f t="shared" si="54"/>
        <v>-34.783333333333296</v>
      </c>
      <c r="I148" s="77"/>
      <c r="J148" s="76">
        <f t="shared" si="49"/>
        <v>-34.569813915857566</v>
      </c>
      <c r="K148" s="78">
        <f t="shared" si="46"/>
        <v>-2.7825188781013996</v>
      </c>
      <c r="L148" s="78">
        <f t="shared" si="50"/>
        <v>-1.1333333333333333</v>
      </c>
      <c r="M148" s="76">
        <f t="shared" si="51"/>
        <v>-29.9421</v>
      </c>
      <c r="N148" s="76">
        <f t="shared" si="52"/>
        <v>10.350928252499989</v>
      </c>
      <c r="O148" s="79">
        <f t="shared" si="53"/>
        <v>-29.9421</v>
      </c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</row>
    <row r="149" spans="1:31" ht="15.75" customHeight="1">
      <c r="A149" s="57"/>
      <c r="B149" s="63">
        <v>22</v>
      </c>
      <c r="C149" s="76">
        <f t="shared" si="43"/>
        <v>61.6</v>
      </c>
      <c r="D149" s="76">
        <f t="shared" si="47"/>
        <v>61.2</v>
      </c>
      <c r="E149" s="76">
        <f t="shared" si="48"/>
        <v>61.400000000000006</v>
      </c>
      <c r="F149" s="76">
        <f t="shared" si="44"/>
        <v>0.4275</v>
      </c>
      <c r="G149" s="77">
        <f t="shared" si="45"/>
        <v>26.248500000000003</v>
      </c>
      <c r="H149" s="77">
        <f t="shared" si="54"/>
        <v>-34.355833333333294</v>
      </c>
      <c r="I149" s="77"/>
      <c r="J149" s="76">
        <f t="shared" si="49"/>
        <v>-34.14231541802385</v>
      </c>
      <c r="K149" s="78">
        <f t="shared" si="46"/>
        <v>-2.7475190010857737</v>
      </c>
      <c r="L149" s="78">
        <f t="shared" si="50"/>
        <v>-1.1333333333333333</v>
      </c>
      <c r="M149" s="76">
        <f t="shared" si="51"/>
        <v>-29.748300000000004</v>
      </c>
      <c r="N149" s="76">
        <f t="shared" si="52"/>
        <v>10.15675841749999</v>
      </c>
      <c r="O149" s="79">
        <f t="shared" si="53"/>
        <v>-29.748300000000004</v>
      </c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</row>
    <row r="150" spans="1:31" ht="15.75" customHeight="1">
      <c r="A150" s="57"/>
      <c r="B150" s="81">
        <v>23</v>
      </c>
      <c r="C150" s="76">
        <f t="shared" si="43"/>
        <v>61.2</v>
      </c>
      <c r="D150" s="76">
        <f t="shared" si="47"/>
        <v>60.8</v>
      </c>
      <c r="E150" s="76">
        <f t="shared" si="48"/>
        <v>61</v>
      </c>
      <c r="F150" s="76">
        <f t="shared" si="44"/>
        <v>0.4275</v>
      </c>
      <c r="G150" s="77">
        <f t="shared" si="45"/>
        <v>26.0775</v>
      </c>
      <c r="H150" s="77">
        <f t="shared" si="54"/>
        <v>-33.92833333333329</v>
      </c>
      <c r="I150" s="77"/>
      <c r="J150" s="76">
        <f t="shared" si="49"/>
        <v>-33.71481693989067</v>
      </c>
      <c r="K150" s="78">
        <f t="shared" si="46"/>
        <v>-2.712519125683057</v>
      </c>
      <c r="L150" s="78">
        <f t="shared" si="50"/>
        <v>-1.1333333333333333</v>
      </c>
      <c r="M150" s="76">
        <f t="shared" si="51"/>
        <v>-29.5545</v>
      </c>
      <c r="N150" s="76">
        <f t="shared" si="52"/>
        <v>9.964245572499987</v>
      </c>
      <c r="O150" s="79">
        <f t="shared" si="53"/>
        <v>-29.5545</v>
      </c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</row>
    <row r="151" spans="1:31" ht="15.75" customHeight="1">
      <c r="A151" s="57"/>
      <c r="B151" s="63">
        <v>24</v>
      </c>
      <c r="C151" s="76">
        <f t="shared" si="43"/>
        <v>60.8</v>
      </c>
      <c r="D151" s="76">
        <f t="shared" si="47"/>
        <v>60.4</v>
      </c>
      <c r="E151" s="76">
        <f t="shared" si="48"/>
        <v>60.599999999999994</v>
      </c>
      <c r="F151" s="76">
        <f t="shared" si="44"/>
        <v>0.4275</v>
      </c>
      <c r="G151" s="77">
        <f t="shared" si="45"/>
        <v>25.906499999999998</v>
      </c>
      <c r="H151" s="77">
        <f t="shared" si="54"/>
        <v>-33.50083333333329</v>
      </c>
      <c r="I151" s="77"/>
      <c r="J151" s="76">
        <f t="shared" si="49"/>
        <v>-33.28731848184814</v>
      </c>
      <c r="K151" s="78">
        <f t="shared" si="46"/>
        <v>-2.6775192519251894</v>
      </c>
      <c r="L151" s="78">
        <f t="shared" si="50"/>
        <v>-1.1333333333333333</v>
      </c>
      <c r="M151" s="76">
        <f t="shared" si="51"/>
        <v>-29.360699999999998</v>
      </c>
      <c r="N151" s="76">
        <f t="shared" si="52"/>
        <v>9.773389717499986</v>
      </c>
      <c r="O151" s="79">
        <f t="shared" si="53"/>
        <v>-29.360699999999998</v>
      </c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</row>
    <row r="152" spans="1:31" ht="15.75" customHeight="1">
      <c r="A152" s="57"/>
      <c r="B152" s="81">
        <v>25</v>
      </c>
      <c r="C152" s="76">
        <f t="shared" si="43"/>
        <v>60.4</v>
      </c>
      <c r="D152" s="76">
        <f t="shared" si="47"/>
        <v>60</v>
      </c>
      <c r="E152" s="76">
        <f t="shared" si="48"/>
        <v>60.2</v>
      </c>
      <c r="F152" s="76">
        <f t="shared" si="44"/>
        <v>0.4275</v>
      </c>
      <c r="G152" s="77">
        <f t="shared" si="45"/>
        <v>25.735500000000002</v>
      </c>
      <c r="H152" s="77">
        <f t="shared" si="54"/>
        <v>-33.07333333333329</v>
      </c>
      <c r="I152" s="77"/>
      <c r="J152" s="76">
        <f t="shared" si="49"/>
        <v>-32.85982004429674</v>
      </c>
      <c r="K152" s="78">
        <f t="shared" si="46"/>
        <v>-2.6425193798449578</v>
      </c>
      <c r="L152" s="78">
        <f t="shared" si="50"/>
        <v>-1.1333333333333333</v>
      </c>
      <c r="M152" s="76">
        <f t="shared" si="51"/>
        <v>-29.166900000000002</v>
      </c>
      <c r="N152" s="76">
        <f t="shared" si="52"/>
        <v>9.584190852499987</v>
      </c>
      <c r="O152" s="79">
        <f t="shared" si="53"/>
        <v>-29.166900000000002</v>
      </c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</row>
    <row r="153" spans="1:31" ht="15.75" customHeight="1">
      <c r="A153" s="57"/>
      <c r="B153" s="63">
        <v>26</v>
      </c>
      <c r="C153" s="76">
        <f t="shared" si="43"/>
        <v>60</v>
      </c>
      <c r="D153" s="76">
        <f t="shared" si="47"/>
        <v>59.6</v>
      </c>
      <c r="E153" s="76">
        <f t="shared" si="48"/>
        <v>59.8</v>
      </c>
      <c r="F153" s="76">
        <f t="shared" si="44"/>
        <v>0.4275</v>
      </c>
      <c r="G153" s="77">
        <f t="shared" si="45"/>
        <v>25.5645</v>
      </c>
      <c r="H153" s="77">
        <f t="shared" si="54"/>
        <v>-32.645833333333286</v>
      </c>
      <c r="I153" s="77"/>
      <c r="J153" s="76">
        <f t="shared" si="49"/>
        <v>-32.43232162764767</v>
      </c>
      <c r="K153" s="78">
        <f t="shared" si="46"/>
        <v>-2.607519509476028</v>
      </c>
      <c r="L153" s="78">
        <f t="shared" si="50"/>
        <v>-1.1333333333333333</v>
      </c>
      <c r="M153" s="76">
        <f t="shared" si="51"/>
        <v>-28.9731</v>
      </c>
      <c r="N153" s="76">
        <f t="shared" si="52"/>
        <v>9.396648977499986</v>
      </c>
      <c r="O153" s="79">
        <f t="shared" si="53"/>
        <v>-28.9731</v>
      </c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</row>
    <row r="154" spans="1:31" ht="15.75" customHeight="1">
      <c r="A154" s="57"/>
      <c r="B154" s="81">
        <v>27</v>
      </c>
      <c r="C154" s="76">
        <f t="shared" si="43"/>
        <v>59.6</v>
      </c>
      <c r="D154" s="76">
        <f t="shared" si="47"/>
        <v>59.2</v>
      </c>
      <c r="E154" s="76">
        <f t="shared" si="48"/>
        <v>59.400000000000006</v>
      </c>
      <c r="F154" s="76">
        <f t="shared" si="44"/>
        <v>0.4275</v>
      </c>
      <c r="G154" s="77">
        <f t="shared" si="45"/>
        <v>25.393500000000003</v>
      </c>
      <c r="H154" s="77">
        <f t="shared" si="54"/>
        <v>-32.218333333333284</v>
      </c>
      <c r="I154" s="77"/>
      <c r="J154" s="76">
        <f t="shared" si="49"/>
        <v>-32.00482323232318</v>
      </c>
      <c r="K154" s="78">
        <f t="shared" si="46"/>
        <v>-2.572519640852971</v>
      </c>
      <c r="L154" s="78">
        <f t="shared" si="50"/>
        <v>-1.1333333333333333</v>
      </c>
      <c r="M154" s="76">
        <f t="shared" si="51"/>
        <v>-28.779300000000003</v>
      </c>
      <c r="N154" s="76">
        <f t="shared" si="52"/>
        <v>9.210764092499986</v>
      </c>
      <c r="O154" s="79">
        <f t="shared" si="53"/>
        <v>-28.779300000000003</v>
      </c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</row>
    <row r="155" spans="1:31" ht="15.75" customHeight="1">
      <c r="A155" s="57"/>
      <c r="B155" s="63">
        <v>28</v>
      </c>
      <c r="C155" s="76">
        <f t="shared" si="43"/>
        <v>59.2</v>
      </c>
      <c r="D155" s="76">
        <f t="shared" si="47"/>
        <v>58.8</v>
      </c>
      <c r="E155" s="76">
        <f t="shared" si="48"/>
        <v>59</v>
      </c>
      <c r="F155" s="76">
        <f t="shared" si="44"/>
        <v>0.4275</v>
      </c>
      <c r="G155" s="77">
        <f t="shared" si="45"/>
        <v>25.2225</v>
      </c>
      <c r="H155" s="77">
        <f t="shared" si="54"/>
        <v>-31.790833333333286</v>
      </c>
      <c r="I155" s="77"/>
      <c r="J155" s="76">
        <f t="shared" si="49"/>
        <v>-31.577324858757013</v>
      </c>
      <c r="K155" s="78">
        <f t="shared" si="46"/>
        <v>-2.537519774011296</v>
      </c>
      <c r="L155" s="78">
        <f t="shared" si="50"/>
        <v>-1.1333333333333333</v>
      </c>
      <c r="M155" s="76">
        <f t="shared" si="51"/>
        <v>-28.5855</v>
      </c>
      <c r="N155" s="76">
        <f t="shared" si="52"/>
        <v>9.026536197499986</v>
      </c>
      <c r="O155" s="79">
        <f t="shared" si="53"/>
        <v>-28.5855</v>
      </c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</row>
    <row r="156" spans="1:31" ht="15.75" customHeight="1">
      <c r="A156" s="57"/>
      <c r="B156" s="81">
        <v>29</v>
      </c>
      <c r="C156" s="76">
        <f t="shared" si="43"/>
        <v>58.8</v>
      </c>
      <c r="D156" s="76">
        <f t="shared" si="47"/>
        <v>58.4</v>
      </c>
      <c r="E156" s="76">
        <f t="shared" si="48"/>
        <v>58.599999999999994</v>
      </c>
      <c r="F156" s="76">
        <f t="shared" si="44"/>
        <v>0.4275</v>
      </c>
      <c r="G156" s="77">
        <f t="shared" si="45"/>
        <v>25.051499999999997</v>
      </c>
      <c r="H156" s="77">
        <f t="shared" si="54"/>
        <v>-31.363333333333287</v>
      </c>
      <c r="I156" s="77"/>
      <c r="J156" s="76">
        <f t="shared" si="49"/>
        <v>-31.14982650739472</v>
      </c>
      <c r="K156" s="78">
        <f t="shared" si="46"/>
        <v>-2.502519908987483</v>
      </c>
      <c r="L156" s="78">
        <f t="shared" si="50"/>
        <v>-1.1333333333333333</v>
      </c>
      <c r="M156" s="76">
        <f t="shared" si="51"/>
        <v>-28.391699999999997</v>
      </c>
      <c r="N156" s="76">
        <f t="shared" si="52"/>
        <v>8.843965292499986</v>
      </c>
      <c r="O156" s="79">
        <f t="shared" si="53"/>
        <v>-28.391699999999997</v>
      </c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</row>
    <row r="157" spans="1:31" ht="15.75" customHeight="1">
      <c r="A157" s="57"/>
      <c r="B157" s="63">
        <v>30</v>
      </c>
      <c r="C157" s="76">
        <f t="shared" si="43"/>
        <v>58.4</v>
      </c>
      <c r="D157" s="76">
        <f t="shared" si="47"/>
        <v>58</v>
      </c>
      <c r="E157" s="76">
        <f t="shared" si="48"/>
        <v>58.2</v>
      </c>
      <c r="F157" s="76">
        <f t="shared" si="44"/>
        <v>0.4275</v>
      </c>
      <c r="G157" s="77">
        <f t="shared" si="45"/>
        <v>24.8805</v>
      </c>
      <c r="H157" s="77">
        <f t="shared" si="54"/>
        <v>-30.93583333333329</v>
      </c>
      <c r="I157" s="77"/>
      <c r="J157" s="76">
        <f t="shared" si="49"/>
        <v>-30.722328178694113</v>
      </c>
      <c r="K157" s="78">
        <f t="shared" si="46"/>
        <v>-2.467520045819012</v>
      </c>
      <c r="L157" s="78">
        <f t="shared" si="50"/>
        <v>-1.1333333333333333</v>
      </c>
      <c r="M157" s="76">
        <f t="shared" si="51"/>
        <v>-28.1979</v>
      </c>
      <c r="N157" s="76">
        <f t="shared" si="52"/>
        <v>8.663051377499988</v>
      </c>
      <c r="O157" s="79">
        <f t="shared" si="53"/>
        <v>-28.1979</v>
      </c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</row>
    <row r="158" spans="1:31" ht="15.75" customHeight="1">
      <c r="A158" s="57"/>
      <c r="B158" s="81">
        <v>31</v>
      </c>
      <c r="C158" s="76">
        <f t="shared" si="43"/>
        <v>58</v>
      </c>
      <c r="D158" s="76">
        <f t="shared" si="47"/>
        <v>57.6</v>
      </c>
      <c r="E158" s="76">
        <f t="shared" si="48"/>
        <v>57.8</v>
      </c>
      <c r="F158" s="76">
        <f t="shared" si="44"/>
        <v>0.4275</v>
      </c>
      <c r="G158" s="77">
        <f t="shared" si="45"/>
        <v>24.7095</v>
      </c>
      <c r="H158" s="77">
        <f t="shared" si="54"/>
        <v>-30.50833333333329</v>
      </c>
      <c r="I158" s="77"/>
      <c r="J158" s="76">
        <f t="shared" si="49"/>
        <v>-30.29482987312568</v>
      </c>
      <c r="K158" s="78">
        <f t="shared" si="46"/>
        <v>-2.4325201845444036</v>
      </c>
      <c r="L158" s="78">
        <f t="shared" si="50"/>
        <v>-1.1333333333333333</v>
      </c>
      <c r="M158" s="76">
        <f t="shared" si="51"/>
        <v>-28.004099999999998</v>
      </c>
      <c r="N158" s="76">
        <f t="shared" si="52"/>
        <v>8.483794452499987</v>
      </c>
      <c r="O158" s="79">
        <f t="shared" si="53"/>
        <v>-28.004099999999998</v>
      </c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</row>
    <row r="159" spans="1:31" ht="15.75" customHeight="1">
      <c r="A159" s="57"/>
      <c r="B159" s="63">
        <v>32</v>
      </c>
      <c r="C159" s="76">
        <f t="shared" si="43"/>
        <v>57.6</v>
      </c>
      <c r="D159" s="76">
        <f t="shared" si="47"/>
        <v>57.2</v>
      </c>
      <c r="E159" s="76">
        <f t="shared" si="48"/>
        <v>57.400000000000006</v>
      </c>
      <c r="F159" s="76">
        <f t="shared" si="44"/>
        <v>0.4275</v>
      </c>
      <c r="G159" s="77">
        <f t="shared" si="45"/>
        <v>24.538500000000003</v>
      </c>
      <c r="H159" s="77">
        <f t="shared" si="54"/>
        <v>-30.080833333333292</v>
      </c>
      <c r="I159" s="77"/>
      <c r="J159" s="76">
        <f t="shared" si="49"/>
        <v>-29.867331591173013</v>
      </c>
      <c r="K159" s="78">
        <f t="shared" si="46"/>
        <v>-2.3975203252032493</v>
      </c>
      <c r="L159" s="78">
        <f t="shared" si="50"/>
        <v>-1.1333333333333333</v>
      </c>
      <c r="M159" s="76">
        <f t="shared" si="51"/>
        <v>-27.8103</v>
      </c>
      <c r="N159" s="76">
        <f t="shared" si="52"/>
        <v>8.30619451749999</v>
      </c>
      <c r="O159" s="79">
        <f t="shared" si="53"/>
        <v>-27.8103</v>
      </c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</row>
    <row r="160" spans="1:31" ht="15.75" customHeight="1">
      <c r="A160" s="57"/>
      <c r="B160" s="81">
        <v>33</v>
      </c>
      <c r="C160" s="76">
        <f t="shared" si="43"/>
        <v>57.2</v>
      </c>
      <c r="D160" s="76">
        <f t="shared" si="47"/>
        <v>56.8</v>
      </c>
      <c r="E160" s="76">
        <f t="shared" si="48"/>
        <v>57</v>
      </c>
      <c r="F160" s="76">
        <f t="shared" si="44"/>
        <v>0.4275</v>
      </c>
      <c r="G160" s="77">
        <f t="shared" si="45"/>
        <v>24.3675</v>
      </c>
      <c r="H160" s="77">
        <f t="shared" si="54"/>
        <v>-29.653333333333293</v>
      </c>
      <c r="I160" s="77"/>
      <c r="J160" s="76">
        <f t="shared" si="49"/>
        <v>-29.439833333333294</v>
      </c>
      <c r="K160" s="78">
        <f aca="true" t="shared" si="55" ref="K160:K191">$K$126+$M$126*J160</f>
        <v>-2.362520467836255</v>
      </c>
      <c r="L160" s="78">
        <f t="shared" si="50"/>
        <v>-1.1333333333333333</v>
      </c>
      <c r="M160" s="76">
        <f t="shared" si="51"/>
        <v>-27.6165</v>
      </c>
      <c r="N160" s="76">
        <f t="shared" si="52"/>
        <v>8.130251572499988</v>
      </c>
      <c r="O160" s="79">
        <f t="shared" si="53"/>
        <v>-27.6165</v>
      </c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</row>
    <row r="161" spans="1:31" ht="15.75" customHeight="1">
      <c r="A161" s="57"/>
      <c r="B161" s="63">
        <v>34</v>
      </c>
      <c r="C161" s="76">
        <f t="shared" si="43"/>
        <v>56.8</v>
      </c>
      <c r="D161" s="76">
        <f t="shared" si="47"/>
        <v>56.4</v>
      </c>
      <c r="E161" s="76">
        <f t="shared" si="48"/>
        <v>56.599999999999994</v>
      </c>
      <c r="F161" s="76">
        <f t="shared" si="44"/>
        <v>0.4275</v>
      </c>
      <c r="G161" s="77">
        <f t="shared" si="45"/>
        <v>24.196499999999997</v>
      </c>
      <c r="H161" s="77">
        <f t="shared" si="54"/>
        <v>-29.225833333333295</v>
      </c>
      <c r="I161" s="77"/>
      <c r="J161" s="76">
        <f t="shared" si="49"/>
        <v>-29.01233510011775</v>
      </c>
      <c r="K161" s="78">
        <f t="shared" si="55"/>
        <v>-2.3275206124852748</v>
      </c>
      <c r="L161" s="78">
        <f t="shared" si="50"/>
        <v>-1.1333333333333333</v>
      </c>
      <c r="M161" s="76">
        <f t="shared" si="51"/>
        <v>-27.422699999999995</v>
      </c>
      <c r="N161" s="76">
        <f t="shared" si="52"/>
        <v>7.955965617499988</v>
      </c>
      <c r="O161" s="79">
        <f t="shared" si="53"/>
        <v>-27.422699999999995</v>
      </c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</row>
    <row r="162" spans="1:31" ht="15.75" customHeight="1">
      <c r="A162" s="57"/>
      <c r="B162" s="81">
        <v>35</v>
      </c>
      <c r="C162" s="76">
        <f t="shared" si="43"/>
        <v>56.4</v>
      </c>
      <c r="D162" s="76">
        <f t="shared" si="47"/>
        <v>56</v>
      </c>
      <c r="E162" s="76">
        <f t="shared" si="48"/>
        <v>56.2</v>
      </c>
      <c r="F162" s="76">
        <f t="shared" si="44"/>
        <v>0.4275</v>
      </c>
      <c r="G162" s="77">
        <f t="shared" si="45"/>
        <v>24.0255</v>
      </c>
      <c r="H162" s="77">
        <f t="shared" si="54"/>
        <v>-28.798333333333296</v>
      </c>
      <c r="I162" s="77"/>
      <c r="J162" s="76">
        <f t="shared" si="49"/>
        <v>-28.58483689205216</v>
      </c>
      <c r="K162" s="78">
        <f t="shared" si="55"/>
        <v>-2.292520759193355</v>
      </c>
      <c r="L162" s="78">
        <f t="shared" si="50"/>
        <v>-1.1333333333333333</v>
      </c>
      <c r="M162" s="76">
        <f t="shared" si="51"/>
        <v>-27.2289</v>
      </c>
      <c r="N162" s="76">
        <f t="shared" si="52"/>
        <v>7.78333665249999</v>
      </c>
      <c r="O162" s="79">
        <f t="shared" si="53"/>
        <v>-27.2289</v>
      </c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</row>
    <row r="163" spans="1:31" ht="15.75" customHeight="1">
      <c r="A163" s="57"/>
      <c r="B163" s="63">
        <v>36</v>
      </c>
      <c r="C163" s="76">
        <f t="shared" si="43"/>
        <v>56</v>
      </c>
      <c r="D163" s="76">
        <f t="shared" si="47"/>
        <v>55.6</v>
      </c>
      <c r="E163" s="76">
        <f t="shared" si="48"/>
        <v>55.8</v>
      </c>
      <c r="F163" s="76">
        <f t="shared" si="44"/>
        <v>0.4275</v>
      </c>
      <c r="G163" s="77">
        <f t="shared" si="45"/>
        <v>23.854499999999998</v>
      </c>
      <c r="H163" s="77">
        <f t="shared" si="54"/>
        <v>-28.370833333333298</v>
      </c>
      <c r="I163" s="77"/>
      <c r="J163" s="76">
        <f t="shared" si="49"/>
        <v>-28.157338709677383</v>
      </c>
      <c r="K163" s="78">
        <f t="shared" si="55"/>
        <v>-2.257520908004777</v>
      </c>
      <c r="L163" s="78">
        <f t="shared" si="50"/>
        <v>-1.1333333333333333</v>
      </c>
      <c r="M163" s="76">
        <f t="shared" si="51"/>
        <v>-27.035099999999996</v>
      </c>
      <c r="N163" s="76">
        <f t="shared" si="52"/>
        <v>7.61236467749999</v>
      </c>
      <c r="O163" s="79">
        <f t="shared" si="53"/>
        <v>-27.035099999999996</v>
      </c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</row>
    <row r="164" spans="1:31" ht="15.75" customHeight="1">
      <c r="A164" s="57"/>
      <c r="B164" s="81">
        <v>37</v>
      </c>
      <c r="C164" s="76">
        <f t="shared" si="43"/>
        <v>55.6</v>
      </c>
      <c r="D164" s="76">
        <f t="shared" si="47"/>
        <v>55.2</v>
      </c>
      <c r="E164" s="76">
        <f t="shared" si="48"/>
        <v>55.400000000000006</v>
      </c>
      <c r="F164" s="76">
        <f t="shared" si="44"/>
        <v>0.4275</v>
      </c>
      <c r="G164" s="77">
        <f t="shared" si="45"/>
        <v>23.683500000000002</v>
      </c>
      <c r="H164" s="77">
        <f t="shared" si="54"/>
        <v>-27.9433333333333</v>
      </c>
      <c r="I164" s="77"/>
      <c r="J164" s="76">
        <f t="shared" si="49"/>
        <v>-27.729840553549906</v>
      </c>
      <c r="K164" s="78">
        <f t="shared" si="55"/>
        <v>-2.2225210589651003</v>
      </c>
      <c r="L164" s="78">
        <f t="shared" si="50"/>
        <v>-1.1333333333333333</v>
      </c>
      <c r="M164" s="76">
        <f t="shared" si="51"/>
        <v>-26.8413</v>
      </c>
      <c r="N164" s="76">
        <f t="shared" si="52"/>
        <v>7.443049692499991</v>
      </c>
      <c r="O164" s="79">
        <f t="shared" si="53"/>
        <v>-26.8413</v>
      </c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</row>
    <row r="165" spans="1:31" ht="15.75" customHeight="1">
      <c r="A165" s="57"/>
      <c r="B165" s="63">
        <v>38</v>
      </c>
      <c r="C165" s="76">
        <f t="shared" si="43"/>
        <v>55.2</v>
      </c>
      <c r="D165" s="76">
        <f t="shared" si="47"/>
        <v>54.8</v>
      </c>
      <c r="E165" s="76">
        <f t="shared" si="48"/>
        <v>55</v>
      </c>
      <c r="F165" s="76">
        <f t="shared" si="44"/>
        <v>0.4275</v>
      </c>
      <c r="G165" s="77">
        <f t="shared" si="45"/>
        <v>23.5125</v>
      </c>
      <c r="H165" s="77">
        <f t="shared" si="54"/>
        <v>-27.5158333333333</v>
      </c>
      <c r="I165" s="77"/>
      <c r="J165" s="76">
        <f t="shared" si="49"/>
        <v>-27.302342424242394</v>
      </c>
      <c r="K165" s="78">
        <f t="shared" si="55"/>
        <v>-2.1875212121212106</v>
      </c>
      <c r="L165" s="78">
        <f t="shared" si="50"/>
        <v>-1.1333333333333333</v>
      </c>
      <c r="M165" s="76">
        <f t="shared" si="51"/>
        <v>-26.647499999999997</v>
      </c>
      <c r="N165" s="76">
        <f t="shared" si="52"/>
        <v>7.275391697499991</v>
      </c>
      <c r="O165" s="79">
        <f t="shared" si="53"/>
        <v>-26.647499999999997</v>
      </c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</row>
    <row r="166" spans="1:31" ht="15.75" customHeight="1">
      <c r="A166" s="57"/>
      <c r="B166" s="81">
        <v>39</v>
      </c>
      <c r="C166" s="76">
        <f t="shared" si="43"/>
        <v>54.8</v>
      </c>
      <c r="D166" s="76">
        <f t="shared" si="47"/>
        <v>54.4</v>
      </c>
      <c r="E166" s="76">
        <f t="shared" si="48"/>
        <v>54.599999999999994</v>
      </c>
      <c r="F166" s="76">
        <f t="shared" si="44"/>
        <v>0.4275</v>
      </c>
      <c r="G166" s="77">
        <f t="shared" si="45"/>
        <v>23.341499999999996</v>
      </c>
      <c r="H166" s="77">
        <f t="shared" si="54"/>
        <v>-27.088333333333303</v>
      </c>
      <c r="I166" s="77"/>
      <c r="J166" s="76">
        <f t="shared" si="49"/>
        <v>-26.87484432234429</v>
      </c>
      <c r="K166" s="78">
        <f t="shared" si="55"/>
        <v>-2.152521367521366</v>
      </c>
      <c r="L166" s="78">
        <f t="shared" si="50"/>
        <v>-1.1333333333333333</v>
      </c>
      <c r="M166" s="76">
        <f t="shared" si="51"/>
        <v>-26.453699999999994</v>
      </c>
      <c r="N166" s="76">
        <f t="shared" si="52"/>
        <v>7.109390692499989</v>
      </c>
      <c r="O166" s="79">
        <f t="shared" si="53"/>
        <v>-26.453699999999994</v>
      </c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</row>
    <row r="167" spans="1:31" ht="15.75" customHeight="1">
      <c r="A167" s="57"/>
      <c r="B167" s="63">
        <v>40</v>
      </c>
      <c r="C167" s="76">
        <f t="shared" si="43"/>
        <v>54.4</v>
      </c>
      <c r="D167" s="76">
        <f t="shared" si="47"/>
        <v>54</v>
      </c>
      <c r="E167" s="76">
        <f t="shared" si="48"/>
        <v>54.2</v>
      </c>
      <c r="F167" s="76">
        <f t="shared" si="44"/>
        <v>0.4275</v>
      </c>
      <c r="G167" s="77">
        <f t="shared" si="45"/>
        <v>23.1705</v>
      </c>
      <c r="H167" s="77">
        <f t="shared" si="54"/>
        <v>-26.660833333333304</v>
      </c>
      <c r="I167" s="77"/>
      <c r="J167" s="76">
        <f t="shared" si="49"/>
        <v>-26.447346248462456</v>
      </c>
      <c r="K167" s="78">
        <f t="shared" si="55"/>
        <v>-2.117521525215251</v>
      </c>
      <c r="L167" s="78">
        <f t="shared" si="50"/>
        <v>-1.1333333333333333</v>
      </c>
      <c r="M167" s="76">
        <f t="shared" si="51"/>
        <v>-26.2599</v>
      </c>
      <c r="N167" s="76">
        <f t="shared" si="52"/>
        <v>6.945046677499992</v>
      </c>
      <c r="O167" s="79">
        <f t="shared" si="53"/>
        <v>-26.2599</v>
      </c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</row>
    <row r="168" spans="1:31" ht="15.75" customHeight="1">
      <c r="A168" s="57"/>
      <c r="B168" s="81">
        <v>41</v>
      </c>
      <c r="C168" s="76">
        <f t="shared" si="43"/>
        <v>54</v>
      </c>
      <c r="D168" s="76">
        <f t="shared" si="47"/>
        <v>53.599999999999994</v>
      </c>
      <c r="E168" s="76">
        <f t="shared" si="48"/>
        <v>53.8</v>
      </c>
      <c r="F168" s="76">
        <f t="shared" si="44"/>
        <v>0.4275</v>
      </c>
      <c r="G168" s="77">
        <f t="shared" si="45"/>
        <v>22.999499999999998</v>
      </c>
      <c r="H168" s="77">
        <f t="shared" si="54"/>
        <v>-26.233333333333306</v>
      </c>
      <c r="I168" s="77"/>
      <c r="J168" s="76">
        <f t="shared" si="49"/>
        <v>-26.01984820322178</v>
      </c>
      <c r="K168" s="78">
        <f t="shared" si="55"/>
        <v>-2.082521685254026</v>
      </c>
      <c r="L168" s="78">
        <f t="shared" si="50"/>
        <v>-1.1333333333333333</v>
      </c>
      <c r="M168" s="76">
        <f t="shared" si="51"/>
        <v>-26.066099999999995</v>
      </c>
      <c r="N168" s="76">
        <f t="shared" si="52"/>
        <v>6.782359652499991</v>
      </c>
      <c r="O168" s="79">
        <f t="shared" si="53"/>
        <v>-26.066099999999995</v>
      </c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</row>
    <row r="169" spans="1:31" ht="15.75" customHeight="1">
      <c r="A169" s="57"/>
      <c r="B169" s="63">
        <v>42</v>
      </c>
      <c r="C169" s="76">
        <f t="shared" si="43"/>
        <v>53.599999999999994</v>
      </c>
      <c r="D169" s="76">
        <f t="shared" si="47"/>
        <v>53.2</v>
      </c>
      <c r="E169" s="76">
        <f t="shared" si="48"/>
        <v>53.4</v>
      </c>
      <c r="F169" s="76">
        <f t="shared" si="44"/>
        <v>0.4275</v>
      </c>
      <c r="G169" s="77">
        <f t="shared" si="45"/>
        <v>22.8285</v>
      </c>
      <c r="H169" s="77">
        <f t="shared" si="54"/>
        <v>-25.805833333333307</v>
      </c>
      <c r="I169" s="77"/>
      <c r="J169" s="76">
        <f t="shared" si="49"/>
        <v>-25.592350187265893</v>
      </c>
      <c r="K169" s="78">
        <f t="shared" si="55"/>
        <v>-2.047521847690386</v>
      </c>
      <c r="L169" s="78">
        <f t="shared" si="50"/>
        <v>-1.1333333333333333</v>
      </c>
      <c r="M169" s="76">
        <f t="shared" si="51"/>
        <v>-25.872299999999996</v>
      </c>
      <c r="N169" s="76">
        <f t="shared" si="52"/>
        <v>6.621329617499993</v>
      </c>
      <c r="O169" s="79">
        <f t="shared" si="53"/>
        <v>-25.872299999999996</v>
      </c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</row>
    <row r="170" spans="1:31" ht="15.75" customHeight="1">
      <c r="A170" s="57"/>
      <c r="B170" s="81">
        <v>43</v>
      </c>
      <c r="C170" s="76">
        <f t="shared" si="43"/>
        <v>53.2</v>
      </c>
      <c r="D170" s="76">
        <f t="shared" si="47"/>
        <v>52.8</v>
      </c>
      <c r="E170" s="76">
        <f t="shared" si="48"/>
        <v>53</v>
      </c>
      <c r="F170" s="76">
        <f t="shared" si="44"/>
        <v>0.4275</v>
      </c>
      <c r="G170" s="77">
        <f t="shared" si="45"/>
        <v>22.6575</v>
      </c>
      <c r="H170" s="77">
        <f t="shared" si="54"/>
        <v>-25.37833333333331</v>
      </c>
      <c r="I170" s="77"/>
      <c r="J170" s="76">
        <f t="shared" si="49"/>
        <v>-25.164852201257837</v>
      </c>
      <c r="K170" s="78">
        <f t="shared" si="55"/>
        <v>-2.0125220125786156</v>
      </c>
      <c r="L170" s="78">
        <f t="shared" si="50"/>
        <v>-1.1333333333333333</v>
      </c>
      <c r="M170" s="76">
        <f t="shared" si="51"/>
        <v>-25.6785</v>
      </c>
      <c r="N170" s="76">
        <f t="shared" si="52"/>
        <v>6.461956572499994</v>
      </c>
      <c r="O170" s="79">
        <f t="shared" si="53"/>
        <v>-25.6785</v>
      </c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</row>
    <row r="171" spans="1:31" ht="15.75" customHeight="1">
      <c r="A171" s="57"/>
      <c r="B171" s="63">
        <v>44</v>
      </c>
      <c r="C171" s="76">
        <f t="shared" si="43"/>
        <v>52.8</v>
      </c>
      <c r="D171" s="76">
        <f t="shared" si="47"/>
        <v>52.4</v>
      </c>
      <c r="E171" s="76">
        <f t="shared" si="48"/>
        <v>52.599999999999994</v>
      </c>
      <c r="F171" s="76">
        <f t="shared" si="44"/>
        <v>0.4275</v>
      </c>
      <c r="G171" s="77">
        <f t="shared" si="45"/>
        <v>22.486499999999996</v>
      </c>
      <c r="H171" s="77">
        <f t="shared" si="54"/>
        <v>-24.95083333333331</v>
      </c>
      <c r="I171" s="77"/>
      <c r="J171" s="76">
        <f t="shared" si="49"/>
        <v>-24.737354245880837</v>
      </c>
      <c r="K171" s="78">
        <f t="shared" si="55"/>
        <v>-1.9775221799746507</v>
      </c>
      <c r="L171" s="78">
        <f t="shared" si="50"/>
        <v>-1.1331901784886238</v>
      </c>
      <c r="M171" s="76">
        <f t="shared" si="51"/>
        <v>-25.481480948584434</v>
      </c>
      <c r="N171" s="76">
        <f t="shared" si="52"/>
        <v>6.303444209347969</v>
      </c>
      <c r="O171" s="79">
        <f t="shared" si="53"/>
        <v>-25.484699999999993</v>
      </c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</row>
    <row r="172" spans="1:31" ht="15.75" customHeight="1">
      <c r="A172" s="57"/>
      <c r="B172" s="81">
        <v>45</v>
      </c>
      <c r="C172" s="76">
        <f t="shared" si="43"/>
        <v>52.4</v>
      </c>
      <c r="D172" s="76">
        <f t="shared" si="47"/>
        <v>52</v>
      </c>
      <c r="E172" s="76">
        <f t="shared" si="48"/>
        <v>52.2</v>
      </c>
      <c r="F172" s="76">
        <f t="shared" si="44"/>
        <v>0.4275</v>
      </c>
      <c r="G172" s="77">
        <f t="shared" si="45"/>
        <v>22.3155</v>
      </c>
      <c r="H172" s="77">
        <f t="shared" si="54"/>
        <v>-24.523333333333312</v>
      </c>
      <c r="I172" s="77"/>
      <c r="J172" s="76">
        <f t="shared" si="49"/>
        <v>-24.30985632183906</v>
      </c>
      <c r="K172" s="78">
        <f t="shared" si="55"/>
        <v>-1.9425223499361426</v>
      </c>
      <c r="L172" s="78">
        <f t="shared" si="50"/>
        <v>-1.1323972905938888</v>
      </c>
      <c r="M172" s="76">
        <f t="shared" si="51"/>
        <v>-25.270011738247927</v>
      </c>
      <c r="N172" s="76">
        <f t="shared" si="52"/>
        <v>6.143103546079937</v>
      </c>
      <c r="O172" s="79">
        <f t="shared" si="53"/>
        <v>-25.2909</v>
      </c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</row>
    <row r="173" spans="1:31" ht="15.75" customHeight="1">
      <c r="A173" s="57"/>
      <c r="B173" s="63">
        <v>46</v>
      </c>
      <c r="C173" s="76">
        <f t="shared" si="43"/>
        <v>52</v>
      </c>
      <c r="D173" s="76">
        <f t="shared" si="47"/>
        <v>51.599999999999994</v>
      </c>
      <c r="E173" s="76">
        <f t="shared" si="48"/>
        <v>51.8</v>
      </c>
      <c r="F173" s="76">
        <f t="shared" si="44"/>
        <v>0.4275</v>
      </c>
      <c r="G173" s="77">
        <f t="shared" si="45"/>
        <v>22.144499999999997</v>
      </c>
      <c r="H173" s="77">
        <f t="shared" si="54"/>
        <v>-24.095833333333314</v>
      </c>
      <c r="I173" s="77"/>
      <c r="J173" s="76">
        <f t="shared" si="49"/>
        <v>-23.88235842985841</v>
      </c>
      <c r="K173" s="78">
        <f t="shared" si="55"/>
        <v>-1.907522522522522</v>
      </c>
      <c r="L173" s="78">
        <f t="shared" si="50"/>
        <v>-1.1309102429118307</v>
      </c>
      <c r="M173" s="76">
        <f t="shared" si="51"/>
        <v>-25.043441874161033</v>
      </c>
      <c r="N173" s="76">
        <f t="shared" si="52"/>
        <v>5.980964551560388</v>
      </c>
      <c r="O173" s="79">
        <f t="shared" si="53"/>
        <v>-25.097099999999998</v>
      </c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</row>
    <row r="174" spans="1:31" ht="15.75" customHeight="1">
      <c r="A174" s="57"/>
      <c r="B174" s="81">
        <v>47</v>
      </c>
      <c r="C174" s="76">
        <f t="shared" si="43"/>
        <v>51.599999999999994</v>
      </c>
      <c r="D174" s="76">
        <f t="shared" si="47"/>
        <v>51.2</v>
      </c>
      <c r="E174" s="76">
        <f t="shared" si="48"/>
        <v>51.4</v>
      </c>
      <c r="F174" s="76">
        <f t="shared" si="44"/>
        <v>0.4275</v>
      </c>
      <c r="G174" s="77">
        <f t="shared" si="45"/>
        <v>21.973499999999998</v>
      </c>
      <c r="H174" s="77">
        <f t="shared" si="54"/>
        <v>-23.668333333333315</v>
      </c>
      <c r="I174" s="77"/>
      <c r="J174" s="76">
        <f t="shared" si="49"/>
        <v>-23.4548605706874</v>
      </c>
      <c r="K174" s="78">
        <f t="shared" si="55"/>
        <v>-1.872522697795071</v>
      </c>
      <c r="L174" s="78">
        <f t="shared" si="50"/>
        <v>-1.1287290356030566</v>
      </c>
      <c r="M174" s="76">
        <f t="shared" si="51"/>
        <v>-24.802127463823762</v>
      </c>
      <c r="N174" s="76">
        <f t="shared" si="52"/>
        <v>5.81730441520403</v>
      </c>
      <c r="O174" s="79">
        <f t="shared" si="53"/>
        <v>-24.903299999999998</v>
      </c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</row>
    <row r="175" spans="1:31" ht="15.75" customHeight="1">
      <c r="A175" s="57"/>
      <c r="B175" s="63">
        <v>48</v>
      </c>
      <c r="C175" s="76">
        <f t="shared" si="43"/>
        <v>51.2</v>
      </c>
      <c r="D175" s="76">
        <f t="shared" si="47"/>
        <v>50.8</v>
      </c>
      <c r="E175" s="76">
        <f t="shared" si="48"/>
        <v>51</v>
      </c>
      <c r="F175" s="76">
        <f t="shared" si="44"/>
        <v>0.4275</v>
      </c>
      <c r="G175" s="77">
        <f t="shared" si="45"/>
        <v>21.8025</v>
      </c>
      <c r="H175" s="77">
        <f t="shared" si="54"/>
        <v>-23.240833333333317</v>
      </c>
      <c r="I175" s="77"/>
      <c r="J175" s="76">
        <f t="shared" si="49"/>
        <v>-23.027362745098024</v>
      </c>
      <c r="K175" s="78">
        <f t="shared" si="55"/>
        <v>-1.8375228758169935</v>
      </c>
      <c r="L175" s="78">
        <f t="shared" si="50"/>
        <v>-1.1258536688332124</v>
      </c>
      <c r="M175" s="76">
        <f t="shared" si="51"/>
        <v>-24.54642461473611</v>
      </c>
      <c r="N175" s="76">
        <f t="shared" si="52"/>
        <v>5.652394236987314</v>
      </c>
      <c r="O175" s="79">
        <f t="shared" si="53"/>
        <v>-24.7095</v>
      </c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</row>
    <row r="176" spans="1:31" ht="15.75" customHeight="1">
      <c r="A176" s="57"/>
      <c r="B176" s="81">
        <v>49</v>
      </c>
      <c r="C176" s="76">
        <f t="shared" si="43"/>
        <v>50.8</v>
      </c>
      <c r="D176" s="76">
        <f t="shared" si="47"/>
        <v>50.4</v>
      </c>
      <c r="E176" s="76">
        <f t="shared" si="48"/>
        <v>50.599999999999994</v>
      </c>
      <c r="F176" s="76">
        <f t="shared" si="44"/>
        <v>0.4275</v>
      </c>
      <c r="G176" s="77">
        <f t="shared" si="45"/>
        <v>21.631499999999996</v>
      </c>
      <c r="H176" s="77">
        <f t="shared" si="54"/>
        <v>-22.81333333333332</v>
      </c>
      <c r="I176" s="77"/>
      <c r="J176" s="76">
        <f t="shared" si="49"/>
        <v>-22.599864953886676</v>
      </c>
      <c r="K176" s="78">
        <f t="shared" si="55"/>
        <v>-1.8025230566534913</v>
      </c>
      <c r="L176" s="78">
        <f t="shared" si="50"/>
        <v>-1.1222841427731804</v>
      </c>
      <c r="M176" s="76">
        <f t="shared" si="51"/>
        <v>-24.276689434398047</v>
      </c>
      <c r="N176" s="76">
        <f t="shared" si="52"/>
        <v>5.486499027448434</v>
      </c>
      <c r="O176" s="79">
        <f t="shared" si="53"/>
        <v>-24.515699999999995</v>
      </c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</row>
    <row r="177" spans="1:31" ht="15.75" customHeight="1">
      <c r="A177" s="57"/>
      <c r="B177" s="63">
        <v>50</v>
      </c>
      <c r="C177" s="76">
        <f t="shared" si="43"/>
        <v>50.4</v>
      </c>
      <c r="D177" s="76">
        <f t="shared" si="47"/>
        <v>50</v>
      </c>
      <c r="E177" s="76">
        <f t="shared" si="48"/>
        <v>50.2</v>
      </c>
      <c r="F177" s="76">
        <f t="shared" si="44"/>
        <v>0.4275</v>
      </c>
      <c r="G177" s="77">
        <f t="shared" si="45"/>
        <v>21.4605</v>
      </c>
      <c r="H177" s="77">
        <f t="shared" si="54"/>
        <v>-22.38583333333332</v>
      </c>
      <c r="I177" s="77"/>
      <c r="J177" s="76">
        <f t="shared" si="49"/>
        <v>-22.172367197875154</v>
      </c>
      <c r="K177" s="78">
        <f t="shared" si="55"/>
        <v>-1.7675232403718464</v>
      </c>
      <c r="L177" s="78">
        <f t="shared" si="50"/>
        <v>-1.1180204575992916</v>
      </c>
      <c r="M177" s="76">
        <f t="shared" si="51"/>
        <v>-23.993278030309597</v>
      </c>
      <c r="N177" s="76">
        <f t="shared" si="52"/>
        <v>5.319877707687351</v>
      </c>
      <c r="O177" s="79">
        <f t="shared" si="53"/>
        <v>-24.3219</v>
      </c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</row>
    <row r="178" spans="1:31" ht="15.75" customHeight="1">
      <c r="A178" s="57"/>
      <c r="B178" s="81">
        <v>51</v>
      </c>
      <c r="C178" s="76">
        <f t="shared" si="43"/>
        <v>50</v>
      </c>
      <c r="D178" s="76">
        <f t="shared" si="47"/>
        <v>49.599999999999994</v>
      </c>
      <c r="E178" s="76">
        <f t="shared" si="48"/>
        <v>49.8</v>
      </c>
      <c r="F178" s="76">
        <f t="shared" si="44"/>
        <v>0.4275</v>
      </c>
      <c r="G178" s="77">
        <f t="shared" si="45"/>
        <v>21.289499999999997</v>
      </c>
      <c r="H178" s="77">
        <f t="shared" si="54"/>
        <v>-21.95833333333332</v>
      </c>
      <c r="I178" s="77"/>
      <c r="J178" s="76">
        <f t="shared" si="49"/>
        <v>-21.744869477911635</v>
      </c>
      <c r="K178" s="78">
        <f t="shared" si="55"/>
        <v>-1.7325234270414998</v>
      </c>
      <c r="L178" s="78">
        <f t="shared" si="50"/>
        <v>-1.1130626134935397</v>
      </c>
      <c r="M178" s="76">
        <f t="shared" si="51"/>
        <v>-23.696546509970712</v>
      </c>
      <c r="N178" s="76">
        <f t="shared" si="52"/>
        <v>5.152783109365756</v>
      </c>
      <c r="O178" s="79">
        <f t="shared" si="53"/>
        <v>-24.128099999999996</v>
      </c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</row>
    <row r="179" spans="1:31" ht="15.75" customHeight="1">
      <c r="A179" s="57"/>
      <c r="B179" s="63">
        <v>52</v>
      </c>
      <c r="C179" s="76">
        <f t="shared" si="43"/>
        <v>49.599999999999994</v>
      </c>
      <c r="D179" s="76">
        <f t="shared" si="47"/>
        <v>49.2</v>
      </c>
      <c r="E179" s="76">
        <f t="shared" si="48"/>
        <v>49.4</v>
      </c>
      <c r="F179" s="76">
        <f t="shared" si="44"/>
        <v>0.4275</v>
      </c>
      <c r="G179" s="77">
        <f t="shared" si="45"/>
        <v>21.118499999999997</v>
      </c>
      <c r="H179" s="77">
        <f t="shared" si="54"/>
        <v>-21.530833333333323</v>
      </c>
      <c r="I179" s="77"/>
      <c r="J179" s="76">
        <f t="shared" si="49"/>
        <v>-21.317371794871786</v>
      </c>
      <c r="K179" s="78">
        <f t="shared" si="55"/>
        <v>-1.6975236167341436</v>
      </c>
      <c r="L179" s="78">
        <f t="shared" si="50"/>
        <v>-1.1074106106438153</v>
      </c>
      <c r="M179" s="76">
        <f t="shared" si="51"/>
        <v>-23.38685098088141</v>
      </c>
      <c r="N179" s="76">
        <f t="shared" si="52"/>
        <v>4.98546197470711</v>
      </c>
      <c r="O179" s="79">
        <f t="shared" si="53"/>
        <v>-23.934299999999997</v>
      </c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</row>
    <row r="180" spans="1:31" ht="15.75" customHeight="1">
      <c r="A180" s="57"/>
      <c r="B180" s="81">
        <v>53</v>
      </c>
      <c r="C180" s="76">
        <f t="shared" si="43"/>
        <v>49.2</v>
      </c>
      <c r="D180" s="76">
        <f t="shared" si="47"/>
        <v>48.8</v>
      </c>
      <c r="E180" s="76">
        <f t="shared" si="48"/>
        <v>49</v>
      </c>
      <c r="F180" s="76">
        <f t="shared" si="44"/>
        <v>0.4275</v>
      </c>
      <c r="G180" s="77">
        <f t="shared" si="45"/>
        <v>20.947499999999998</v>
      </c>
      <c r="H180" s="77">
        <f t="shared" si="54"/>
        <v>-21.103333333333325</v>
      </c>
      <c r="I180" s="77"/>
      <c r="J180" s="76">
        <f t="shared" si="49"/>
        <v>-20.889874149659857</v>
      </c>
      <c r="K180" s="78">
        <f t="shared" si="55"/>
        <v>-1.6625238095238104</v>
      </c>
      <c r="L180" s="78">
        <f t="shared" si="50"/>
        <v>-1.1010644492441422</v>
      </c>
      <c r="M180" s="76">
        <f t="shared" si="51"/>
        <v>-23.064547550541665</v>
      </c>
      <c r="N180" s="76">
        <f t="shared" si="52"/>
        <v>4.818154956496609</v>
      </c>
      <c r="O180" s="79">
        <f t="shared" si="53"/>
        <v>-23.740499999999997</v>
      </c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</row>
    <row r="181" spans="1:31" ht="15.75" customHeight="1">
      <c r="A181" s="57"/>
      <c r="B181" s="63">
        <v>54</v>
      </c>
      <c r="C181" s="76">
        <f t="shared" si="43"/>
        <v>48.8</v>
      </c>
      <c r="D181" s="76">
        <f t="shared" si="47"/>
        <v>48.4</v>
      </c>
      <c r="E181" s="76">
        <f t="shared" si="48"/>
        <v>48.599999999999994</v>
      </c>
      <c r="F181" s="76">
        <f t="shared" si="44"/>
        <v>0.4275</v>
      </c>
      <c r="G181" s="77">
        <f t="shared" si="45"/>
        <v>20.7765</v>
      </c>
      <c r="H181" s="77">
        <f t="shared" si="54"/>
        <v>-20.675833333333326</v>
      </c>
      <c r="I181" s="77"/>
      <c r="J181" s="76">
        <f t="shared" si="49"/>
        <v>-20.46237654320987</v>
      </c>
      <c r="K181" s="78">
        <f t="shared" si="55"/>
        <v>-1.6275240054869693</v>
      </c>
      <c r="L181" s="78">
        <f t="shared" si="50"/>
        <v>-1.094024129494933</v>
      </c>
      <c r="M181" s="76">
        <f t="shared" si="51"/>
        <v>-22.729992326451477</v>
      </c>
      <c r="N181" s="76">
        <f t="shared" si="52"/>
        <v>4.651096618081211</v>
      </c>
      <c r="O181" s="79">
        <f t="shared" si="53"/>
        <v>-23.546699999999998</v>
      </c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</row>
    <row r="182" spans="1:31" ht="15.75" customHeight="1">
      <c r="A182" s="57"/>
      <c r="B182" s="81">
        <v>55</v>
      </c>
      <c r="C182" s="76">
        <f t="shared" si="43"/>
        <v>48.4</v>
      </c>
      <c r="D182" s="76">
        <f t="shared" si="47"/>
        <v>48</v>
      </c>
      <c r="E182" s="76">
        <f t="shared" si="48"/>
        <v>48.2</v>
      </c>
      <c r="F182" s="76">
        <f t="shared" si="44"/>
        <v>0.4275</v>
      </c>
      <c r="G182" s="77">
        <f t="shared" si="45"/>
        <v>20.6055</v>
      </c>
      <c r="H182" s="77">
        <f t="shared" si="54"/>
        <v>-20.248333333333328</v>
      </c>
      <c r="I182" s="77"/>
      <c r="J182" s="76">
        <f t="shared" si="49"/>
        <v>-20.034878976486855</v>
      </c>
      <c r="K182" s="78">
        <f t="shared" si="55"/>
        <v>-1.592524204702629</v>
      </c>
      <c r="L182" s="78">
        <f t="shared" si="50"/>
        <v>-1.086289651603253</v>
      </c>
      <c r="M182" s="76">
        <f t="shared" si="51"/>
        <v>-22.383541416110827</v>
      </c>
      <c r="N182" s="76">
        <f t="shared" si="52"/>
        <v>4.484515433369616</v>
      </c>
      <c r="O182" s="79">
        <f t="shared" si="53"/>
        <v>-23.352899999999998</v>
      </c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</row>
    <row r="183" spans="1:31" ht="15.75" customHeight="1">
      <c r="A183" s="57"/>
      <c r="B183" s="63">
        <v>56</v>
      </c>
      <c r="C183" s="76">
        <f t="shared" si="43"/>
        <v>48</v>
      </c>
      <c r="D183" s="76">
        <f t="shared" si="47"/>
        <v>47.599999999999994</v>
      </c>
      <c r="E183" s="76">
        <f t="shared" si="48"/>
        <v>47.8</v>
      </c>
      <c r="F183" s="76">
        <f t="shared" si="44"/>
        <v>0.4275</v>
      </c>
      <c r="G183" s="77">
        <f t="shared" si="45"/>
        <v>20.4345</v>
      </c>
      <c r="H183" s="77">
        <f t="shared" si="54"/>
        <v>-19.82083333333333</v>
      </c>
      <c r="I183" s="77"/>
      <c r="J183" s="76">
        <f t="shared" si="49"/>
        <v>-19.60738145048814</v>
      </c>
      <c r="K183" s="78">
        <f t="shared" si="55"/>
        <v>-1.557524407252442</v>
      </c>
      <c r="L183" s="78">
        <f t="shared" si="50"/>
        <v>-1.0778610157830975</v>
      </c>
      <c r="M183" s="76">
        <f t="shared" si="51"/>
        <v>-22.025550927019705</v>
      </c>
      <c r="N183" s="76">
        <f t="shared" si="52"/>
        <v>4.31863378683228</v>
      </c>
      <c r="O183" s="79">
        <f t="shared" si="53"/>
        <v>-23.1591</v>
      </c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</row>
    <row r="184" spans="1:31" ht="15.75" customHeight="1">
      <c r="A184" s="57"/>
      <c r="B184" s="81">
        <v>57</v>
      </c>
      <c r="C184" s="76">
        <f t="shared" si="43"/>
        <v>47.599999999999994</v>
      </c>
      <c r="D184" s="76">
        <f t="shared" si="47"/>
        <v>47.2</v>
      </c>
      <c r="E184" s="76">
        <f t="shared" si="48"/>
        <v>47.4</v>
      </c>
      <c r="F184" s="76">
        <f t="shared" si="44"/>
        <v>0.4275</v>
      </c>
      <c r="G184" s="77">
        <f t="shared" si="45"/>
        <v>20.2635</v>
      </c>
      <c r="H184" s="77">
        <f t="shared" si="54"/>
        <v>-19.39333333333333</v>
      </c>
      <c r="I184" s="77"/>
      <c r="J184" s="76">
        <f t="shared" si="49"/>
        <v>-19.179883966244724</v>
      </c>
      <c r="K184" s="78">
        <f t="shared" si="55"/>
        <v>-1.522524613220817</v>
      </c>
      <c r="L184" s="78">
        <f t="shared" si="50"/>
        <v>-1.0687382222556863</v>
      </c>
      <c r="M184" s="76">
        <f t="shared" si="51"/>
        <v>-21.6563769666781</v>
      </c>
      <c r="N184" s="76">
        <f t="shared" si="52"/>
        <v>4.153667973501408</v>
      </c>
      <c r="O184" s="79">
        <f t="shared" si="53"/>
        <v>-22.9653</v>
      </c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</row>
    <row r="185" spans="1:31" ht="15.75" customHeight="1">
      <c r="A185" s="57"/>
      <c r="B185" s="63">
        <v>58</v>
      </c>
      <c r="C185" s="76">
        <f t="shared" si="43"/>
        <v>47.2</v>
      </c>
      <c r="D185" s="76">
        <f t="shared" si="47"/>
        <v>46.8</v>
      </c>
      <c r="E185" s="76">
        <f t="shared" si="48"/>
        <v>47</v>
      </c>
      <c r="F185" s="76">
        <f t="shared" si="44"/>
        <v>0.4275</v>
      </c>
      <c r="G185" s="77">
        <f t="shared" si="45"/>
        <v>20.0925</v>
      </c>
      <c r="H185" s="77">
        <f t="shared" si="54"/>
        <v>-18.965833333333332</v>
      </c>
      <c r="I185" s="77"/>
      <c r="J185" s="76">
        <f t="shared" si="49"/>
        <v>-18.752386524822693</v>
      </c>
      <c r="K185" s="78">
        <f t="shared" si="55"/>
        <v>-1.4875248226950368</v>
      </c>
      <c r="L185" s="78">
        <f t="shared" si="50"/>
        <v>-1.0589212712497698</v>
      </c>
      <c r="M185" s="76">
        <f t="shared" si="51"/>
        <v>-21.276375642586</v>
      </c>
      <c r="N185" s="76">
        <f t="shared" si="52"/>
        <v>3.989828198970955</v>
      </c>
      <c r="O185" s="79">
        <f t="shared" si="53"/>
        <v>-22.7715</v>
      </c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</row>
    <row r="186" spans="1:31" ht="15.75" customHeight="1">
      <c r="A186" s="57"/>
      <c r="B186" s="81">
        <v>59</v>
      </c>
      <c r="C186" s="76">
        <f t="shared" si="43"/>
        <v>46.8</v>
      </c>
      <c r="D186" s="76">
        <f t="shared" si="47"/>
        <v>46.4</v>
      </c>
      <c r="E186" s="76">
        <f t="shared" si="48"/>
        <v>46.599999999999994</v>
      </c>
      <c r="F186" s="76">
        <f t="shared" si="44"/>
        <v>0.4275</v>
      </c>
      <c r="G186" s="77">
        <f t="shared" si="45"/>
        <v>19.921499999999998</v>
      </c>
      <c r="H186" s="77">
        <f t="shared" si="54"/>
        <v>-18.538333333333334</v>
      </c>
      <c r="I186" s="77"/>
      <c r="J186" s="76">
        <f t="shared" si="49"/>
        <v>-18.32488912732475</v>
      </c>
      <c r="K186" s="78">
        <f t="shared" si="55"/>
        <v>-1.4525250357653805</v>
      </c>
      <c r="L186" s="78">
        <f t="shared" si="50"/>
        <v>-1.0484101630019522</v>
      </c>
      <c r="M186" s="76">
        <f t="shared" si="51"/>
        <v>-20.88590306224339</v>
      </c>
      <c r="N186" s="76">
        <f t="shared" si="52"/>
        <v>3.827318579396626</v>
      </c>
      <c r="O186" s="79">
        <f t="shared" si="53"/>
        <v>-22.577699999999997</v>
      </c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</row>
    <row r="187" spans="1:31" ht="15.75" customHeight="1">
      <c r="A187" s="57"/>
      <c r="B187" s="63">
        <v>60</v>
      </c>
      <c r="C187" s="76">
        <f t="shared" si="43"/>
        <v>46.4</v>
      </c>
      <c r="D187" s="76">
        <f t="shared" si="47"/>
        <v>46</v>
      </c>
      <c r="E187" s="76">
        <f t="shared" si="48"/>
        <v>46.2</v>
      </c>
      <c r="F187" s="76">
        <f t="shared" si="44"/>
        <v>0.4275</v>
      </c>
      <c r="G187" s="77">
        <f t="shared" si="45"/>
        <v>19.750500000000002</v>
      </c>
      <c r="H187" s="77">
        <f t="shared" si="54"/>
        <v>-18.110833333333336</v>
      </c>
      <c r="I187" s="77"/>
      <c r="J187" s="76">
        <f t="shared" si="49"/>
        <v>-17.897391774891776</v>
      </c>
      <c r="K187" s="78">
        <f t="shared" si="55"/>
        <v>-1.4175252525252542</v>
      </c>
      <c r="L187" s="78">
        <f t="shared" si="50"/>
        <v>-1.037204897757032</v>
      </c>
      <c r="M187" s="76">
        <f t="shared" si="51"/>
        <v>-20.485315333150265</v>
      </c>
      <c r="N187" s="76">
        <f t="shared" si="52"/>
        <v>3.6663371414958794</v>
      </c>
      <c r="O187" s="79">
        <f t="shared" si="53"/>
        <v>-22.3839</v>
      </c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</row>
    <row r="188" spans="1:31" ht="15.75" customHeight="1">
      <c r="A188" s="57"/>
      <c r="B188" s="81">
        <v>61</v>
      </c>
      <c r="C188" s="76">
        <f t="shared" si="43"/>
        <v>46</v>
      </c>
      <c r="D188" s="76">
        <f t="shared" si="47"/>
        <v>45.599999999999994</v>
      </c>
      <c r="E188" s="76">
        <f t="shared" si="48"/>
        <v>45.8</v>
      </c>
      <c r="F188" s="76">
        <f t="shared" si="44"/>
        <v>0.4275</v>
      </c>
      <c r="G188" s="77">
        <f t="shared" si="45"/>
        <v>19.5795</v>
      </c>
      <c r="H188" s="77">
        <f t="shared" si="54"/>
        <v>-17.683333333333337</v>
      </c>
      <c r="I188" s="77"/>
      <c r="J188" s="76">
        <f t="shared" si="49"/>
        <v>-17.469894468704517</v>
      </c>
      <c r="K188" s="78">
        <f t="shared" si="55"/>
        <v>-1.3825254730713266</v>
      </c>
      <c r="L188" s="78">
        <f t="shared" si="50"/>
        <v>-1.0253054757683597</v>
      </c>
      <c r="M188" s="76">
        <f t="shared" si="51"/>
        <v>-20.0749685628066</v>
      </c>
      <c r="N188" s="76">
        <f t="shared" si="52"/>
        <v>3.507075822547921</v>
      </c>
      <c r="O188" s="79">
        <f t="shared" si="53"/>
        <v>-22.190099999999997</v>
      </c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</row>
    <row r="189" spans="1:31" ht="15.75" customHeight="1">
      <c r="A189" s="57"/>
      <c r="B189" s="63">
        <v>62</v>
      </c>
      <c r="C189" s="76">
        <f t="shared" si="43"/>
        <v>45.599999999999994</v>
      </c>
      <c r="D189" s="76">
        <f t="shared" si="47"/>
        <v>45.2</v>
      </c>
      <c r="E189" s="76">
        <f t="shared" si="48"/>
        <v>45.4</v>
      </c>
      <c r="F189" s="76">
        <f t="shared" si="44"/>
        <v>0.4275</v>
      </c>
      <c r="G189" s="77">
        <f t="shared" si="45"/>
        <v>19.4085</v>
      </c>
      <c r="H189" s="77">
        <f t="shared" si="54"/>
        <v>-17.25583333333334</v>
      </c>
      <c r="I189" s="77"/>
      <c r="J189" s="76">
        <f t="shared" si="49"/>
        <v>-17.04239720998532</v>
      </c>
      <c r="K189" s="78">
        <f t="shared" si="55"/>
        <v>-1.3475256975036731</v>
      </c>
      <c r="L189" s="78">
        <f t="shared" si="50"/>
        <v>-1.0127118972982139</v>
      </c>
      <c r="M189" s="76">
        <f t="shared" si="51"/>
        <v>-19.655218858712384</v>
      </c>
      <c r="N189" s="76">
        <f t="shared" si="52"/>
        <v>3.349720470393708</v>
      </c>
      <c r="O189" s="79">
        <f t="shared" si="53"/>
        <v>-21.996299999999998</v>
      </c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</row>
    <row r="190" spans="1:31" ht="15.75" customHeight="1">
      <c r="A190" s="57"/>
      <c r="B190" s="81">
        <v>63</v>
      </c>
      <c r="C190" s="76">
        <f t="shared" si="43"/>
        <v>45.2</v>
      </c>
      <c r="D190" s="76">
        <f t="shared" si="47"/>
        <v>44.8</v>
      </c>
      <c r="E190" s="76">
        <f t="shared" si="48"/>
        <v>45</v>
      </c>
      <c r="F190" s="76">
        <f t="shared" si="44"/>
        <v>0.4275</v>
      </c>
      <c r="G190" s="77">
        <f t="shared" si="45"/>
        <v>19.2375</v>
      </c>
      <c r="H190" s="77">
        <f t="shared" si="54"/>
        <v>-16.82833333333334</v>
      </c>
      <c r="I190" s="77"/>
      <c r="J190" s="76">
        <f t="shared" si="49"/>
        <v>-16.614900000000006</v>
      </c>
      <c r="K190" s="78">
        <f t="shared" si="55"/>
        <v>-1.312525925925928</v>
      </c>
      <c r="L190" s="78">
        <f t="shared" si="50"/>
        <v>-0.9994241626181993</v>
      </c>
      <c r="M190" s="76">
        <f t="shared" si="51"/>
        <v>-19.22642232836761</v>
      </c>
      <c r="N190" s="76">
        <f t="shared" si="52"/>
        <v>3.1944508434359515</v>
      </c>
      <c r="O190" s="79">
        <f t="shared" si="53"/>
        <v>-21.802500000000002</v>
      </c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</row>
    <row r="191" spans="1:31" ht="15.75" customHeight="1">
      <c r="A191" s="57"/>
      <c r="B191" s="63">
        <v>64</v>
      </c>
      <c r="C191" s="76">
        <f t="shared" si="43"/>
        <v>44.8</v>
      </c>
      <c r="D191" s="76">
        <f t="shared" si="47"/>
        <v>44.4</v>
      </c>
      <c r="E191" s="76">
        <f t="shared" si="48"/>
        <v>44.599999999999994</v>
      </c>
      <c r="F191" s="76">
        <f t="shared" si="44"/>
        <v>0.4275</v>
      </c>
      <c r="G191" s="77">
        <f t="shared" si="45"/>
        <v>19.066499999999998</v>
      </c>
      <c r="H191" s="77">
        <f t="shared" si="54"/>
        <v>-16.400833333333342</v>
      </c>
      <c r="I191" s="77"/>
      <c r="J191" s="76">
        <f t="shared" si="49"/>
        <v>-16.1874028400598</v>
      </c>
      <c r="K191" s="78">
        <f t="shared" si="55"/>
        <v>-1.2775261584454434</v>
      </c>
      <c r="L191" s="78">
        <f t="shared" si="50"/>
        <v>-0.9854422720096637</v>
      </c>
      <c r="M191" s="76">
        <f t="shared" si="51"/>
        <v>-18.78893507927225</v>
      </c>
      <c r="N191" s="76">
        <f t="shared" si="52"/>
        <v>3.0414406106391083</v>
      </c>
      <c r="O191" s="79">
        <f t="shared" si="53"/>
        <v>-21.608699999999995</v>
      </c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</row>
    <row r="192" spans="1:31" ht="15.75" customHeight="1">
      <c r="A192" s="57"/>
      <c r="B192" s="81">
        <v>65</v>
      </c>
      <c r="C192" s="76">
        <f t="shared" si="43"/>
        <v>44.4</v>
      </c>
      <c r="D192" s="76">
        <f t="shared" si="47"/>
        <v>44</v>
      </c>
      <c r="E192" s="76">
        <f t="shared" si="48"/>
        <v>44.2</v>
      </c>
      <c r="F192" s="76">
        <f t="shared" si="44"/>
        <v>0.4275</v>
      </c>
      <c r="G192" s="77">
        <f t="shared" si="45"/>
        <v>18.895500000000002</v>
      </c>
      <c r="H192" s="77">
        <f t="shared" si="54"/>
        <v>-15.973333333333342</v>
      </c>
      <c r="I192" s="77"/>
      <c r="J192" s="76">
        <f t="shared" si="49"/>
        <v>-15.759905731523387</v>
      </c>
      <c r="K192" s="78">
        <f aca="true" t="shared" si="56" ref="K192:K223">$K$126+$M$126*J192</f>
        <v>-1.2425263951734564</v>
      </c>
      <c r="L192" s="78">
        <f t="shared" si="50"/>
        <v>-0.9707662257641397</v>
      </c>
      <c r="M192" s="76">
        <f t="shared" si="51"/>
        <v>-18.343113218926305</v>
      </c>
      <c r="N192" s="76">
        <f t="shared" si="52"/>
        <v>2.890857351529391</v>
      </c>
      <c r="O192" s="79">
        <f t="shared" si="53"/>
        <v>-21.414900000000003</v>
      </c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</row>
    <row r="193" spans="1:31" ht="15.75" customHeight="1">
      <c r="A193" s="57"/>
      <c r="B193" s="63">
        <v>66</v>
      </c>
      <c r="C193" s="76">
        <f aca="true" t="shared" si="57" ref="C193:C227">IF(B193&lt;=$P$2,$K$2,IF(B193&gt;($P$2+$P$3),$K$4,$K$4+2*$K$3-((B193-$P$2)-1)*(2*$K$3/$P$3)))</f>
        <v>44</v>
      </c>
      <c r="D193" s="76">
        <f aca="true" t="shared" si="58" ref="D193:D227">IF(B193&lt;=$P$2,$K$2,IF(B193&gt;($P$2+$P$3),$K$4,$K$4+2*$K$3-(B193-$P$2)*(2*$K$3/$P$3)))</f>
        <v>43.599999999999994</v>
      </c>
      <c r="E193" s="76">
        <f aca="true" t="shared" si="59" ref="E193:E227">(C193+D193)/2</f>
        <v>43.8</v>
      </c>
      <c r="F193" s="76">
        <f aca="true" t="shared" si="60" ref="F193:F227">IF(B193&lt;=$P$2,$Q$2,IF(B193&gt;($P$2+$P$3),$Q$4,$Q$3))</f>
        <v>0.4275</v>
      </c>
      <c r="G193" s="77">
        <f aca="true" t="shared" si="61" ref="G193:G227">E193*F193</f>
        <v>18.7245</v>
      </c>
      <c r="H193" s="77">
        <f t="shared" si="54"/>
        <v>-15.545833333333341</v>
      </c>
      <c r="I193" s="77"/>
      <c r="J193" s="76">
        <f aca="true" t="shared" si="62" ref="J193:J227">H193+F193/3*(C193+2*D193)/(C193+D193)</f>
        <v>-15.332408675799094</v>
      </c>
      <c r="K193" s="78">
        <f t="shared" si="56"/>
        <v>-1.2075266362252686</v>
      </c>
      <c r="L193" s="78">
        <f aca="true" t="shared" si="63" ref="L193:L227">IF(K193&lt;=$D$58,-$G$58,IF(K193&gt;=0,0,-$G$58*(1-(1-K193/$D$58)^$F$58)))</f>
        <v>-0.9553960241838092</v>
      </c>
      <c r="M193" s="76">
        <f aca="true" t="shared" si="64" ref="M193:M227">L193*G193</f>
        <v>-17.889312854829736</v>
      </c>
      <c r="N193" s="76">
        <f aca="true" t="shared" si="65" ref="N193:N227">M193*J193/100</f>
        <v>2.742862556194757</v>
      </c>
      <c r="O193" s="79">
        <f aca="true" t="shared" si="66" ref="O193:O227">IF(K193&lt;0,-$G$58*G193,0)</f>
        <v>-21.2211</v>
      </c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</row>
    <row r="194" spans="1:31" ht="15.75" customHeight="1">
      <c r="A194" s="57"/>
      <c r="B194" s="81">
        <v>67</v>
      </c>
      <c r="C194" s="76">
        <f t="shared" si="57"/>
        <v>43.599999999999994</v>
      </c>
      <c r="D194" s="76">
        <f t="shared" si="58"/>
        <v>43.2</v>
      </c>
      <c r="E194" s="76">
        <f t="shared" si="59"/>
        <v>43.4</v>
      </c>
      <c r="F194" s="76">
        <f t="shared" si="60"/>
        <v>0.4275</v>
      </c>
      <c r="G194" s="77">
        <f t="shared" si="61"/>
        <v>18.5535</v>
      </c>
      <c r="H194" s="77">
        <f aca="true" t="shared" si="67" ref="H194:H227">H193+F194</f>
        <v>-15.118333333333341</v>
      </c>
      <c r="I194" s="77"/>
      <c r="J194" s="76">
        <f t="shared" si="62"/>
        <v>-14.904911674347167</v>
      </c>
      <c r="K194" s="78">
        <f t="shared" si="56"/>
        <v>-1.1725268817204326</v>
      </c>
      <c r="L194" s="78">
        <f t="shared" si="63"/>
        <v>-0.9393316675819953</v>
      </c>
      <c r="M194" s="76">
        <f t="shared" si="64"/>
        <v>-17.42789009448255</v>
      </c>
      <c r="N194" s="76">
        <f t="shared" si="65"/>
        <v>2.597611625284923</v>
      </c>
      <c r="O194" s="79">
        <f t="shared" si="66"/>
        <v>-21.0273</v>
      </c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</row>
    <row r="195" spans="1:31" ht="15.75" customHeight="1">
      <c r="A195" s="57"/>
      <c r="B195" s="63">
        <v>68</v>
      </c>
      <c r="C195" s="76">
        <f t="shared" si="57"/>
        <v>43.2</v>
      </c>
      <c r="D195" s="76">
        <f t="shared" si="58"/>
        <v>42.8</v>
      </c>
      <c r="E195" s="76">
        <f t="shared" si="59"/>
        <v>43</v>
      </c>
      <c r="F195" s="76">
        <f t="shared" si="60"/>
        <v>0.4275</v>
      </c>
      <c r="G195" s="77">
        <f t="shared" si="61"/>
        <v>18.3825</v>
      </c>
      <c r="H195" s="77">
        <f t="shared" si="67"/>
        <v>-14.690833333333341</v>
      </c>
      <c r="I195" s="77"/>
      <c r="J195" s="76">
        <f t="shared" si="62"/>
        <v>-14.477414728682179</v>
      </c>
      <c r="K195" s="78">
        <f t="shared" si="56"/>
        <v>-1.1375271317829483</v>
      </c>
      <c r="L195" s="78">
        <f t="shared" si="63"/>
        <v>-0.9225731562836781</v>
      </c>
      <c r="M195" s="76">
        <f t="shared" si="64"/>
        <v>-16.959201045384713</v>
      </c>
      <c r="N195" s="76">
        <f t="shared" si="65"/>
        <v>2.4552538700113486</v>
      </c>
      <c r="O195" s="79">
        <f t="shared" si="66"/>
        <v>-20.8335</v>
      </c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</row>
    <row r="196" spans="1:31" ht="15.75" customHeight="1">
      <c r="A196" s="57"/>
      <c r="B196" s="81">
        <v>69</v>
      </c>
      <c r="C196" s="76">
        <f t="shared" si="57"/>
        <v>42.8</v>
      </c>
      <c r="D196" s="76">
        <f t="shared" si="58"/>
        <v>42.4</v>
      </c>
      <c r="E196" s="76">
        <f t="shared" si="59"/>
        <v>42.599999999999994</v>
      </c>
      <c r="F196" s="76">
        <f t="shared" si="60"/>
        <v>0.4275</v>
      </c>
      <c r="G196" s="77">
        <f t="shared" si="61"/>
        <v>18.211499999999997</v>
      </c>
      <c r="H196" s="77">
        <f t="shared" si="67"/>
        <v>-14.26333333333334</v>
      </c>
      <c r="I196" s="77"/>
      <c r="J196" s="76">
        <f t="shared" si="62"/>
        <v>-14.049917840375594</v>
      </c>
      <c r="K196" s="78">
        <f t="shared" si="56"/>
        <v>-1.1025273865414733</v>
      </c>
      <c r="L196" s="78">
        <f t="shared" si="63"/>
        <v>-0.9051204906260445</v>
      </c>
      <c r="M196" s="76">
        <f t="shared" si="64"/>
        <v>-16.483601815036206</v>
      </c>
      <c r="N196" s="76">
        <f t="shared" si="65"/>
        <v>2.3159325121472474</v>
      </c>
      <c r="O196" s="79">
        <f t="shared" si="66"/>
        <v>-20.639699999999998</v>
      </c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</row>
    <row r="197" spans="1:31" ht="15.75" customHeight="1">
      <c r="A197" s="57"/>
      <c r="B197" s="63">
        <v>70</v>
      </c>
      <c r="C197" s="76">
        <f t="shared" si="57"/>
        <v>42.4</v>
      </c>
      <c r="D197" s="76">
        <f t="shared" si="58"/>
        <v>42</v>
      </c>
      <c r="E197" s="76">
        <f t="shared" si="59"/>
        <v>42.2</v>
      </c>
      <c r="F197" s="76">
        <f t="shared" si="60"/>
        <v>0.4275</v>
      </c>
      <c r="G197" s="77">
        <f t="shared" si="61"/>
        <v>18.0405</v>
      </c>
      <c r="H197" s="77">
        <f t="shared" si="67"/>
        <v>-13.83583333333334</v>
      </c>
      <c r="I197" s="77"/>
      <c r="J197" s="76">
        <f t="shared" si="62"/>
        <v>-13.622421011058458</v>
      </c>
      <c r="K197" s="78">
        <f t="shared" si="56"/>
        <v>-1.0675276461295442</v>
      </c>
      <c r="L197" s="78">
        <f t="shared" si="63"/>
        <v>-0.8869736709590659</v>
      </c>
      <c r="M197" s="76">
        <f t="shared" si="64"/>
        <v>-16.001448510937028</v>
      </c>
      <c r="N197" s="76">
        <f t="shared" si="65"/>
        <v>2.1797846840275863</v>
      </c>
      <c r="O197" s="79">
        <f t="shared" si="66"/>
        <v>-20.4459</v>
      </c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</row>
    <row r="198" spans="1:31" ht="15.75" customHeight="1">
      <c r="A198" s="57"/>
      <c r="B198" s="81">
        <v>71</v>
      </c>
      <c r="C198" s="76">
        <f t="shared" si="57"/>
        <v>42</v>
      </c>
      <c r="D198" s="76">
        <f t="shared" si="58"/>
        <v>41.599999999999994</v>
      </c>
      <c r="E198" s="76">
        <f t="shared" si="59"/>
        <v>41.8</v>
      </c>
      <c r="F198" s="76">
        <f t="shared" si="60"/>
        <v>0.4275</v>
      </c>
      <c r="G198" s="77">
        <f t="shared" si="61"/>
        <v>17.8695</v>
      </c>
      <c r="H198" s="77">
        <f t="shared" si="67"/>
        <v>-13.40833333333334</v>
      </c>
      <c r="I198" s="77"/>
      <c r="J198" s="76">
        <f t="shared" si="62"/>
        <v>-13.19492424242425</v>
      </c>
      <c r="K198" s="78">
        <f t="shared" si="56"/>
        <v>-1.0325279106858078</v>
      </c>
      <c r="L198" s="78">
        <f t="shared" si="63"/>
        <v>-0.868132697646109</v>
      </c>
      <c r="M198" s="76">
        <f t="shared" si="64"/>
        <v>-15.513097240587143</v>
      </c>
      <c r="N198" s="76">
        <f t="shared" si="65"/>
        <v>2.04694142854908</v>
      </c>
      <c r="O198" s="79">
        <f t="shared" si="66"/>
        <v>-20.2521</v>
      </c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</row>
    <row r="199" spans="1:31" ht="15.75" customHeight="1">
      <c r="A199" s="57"/>
      <c r="B199" s="63">
        <v>72</v>
      </c>
      <c r="C199" s="76">
        <f t="shared" si="57"/>
        <v>41.599999999999994</v>
      </c>
      <c r="D199" s="76">
        <f t="shared" si="58"/>
        <v>41.2</v>
      </c>
      <c r="E199" s="76">
        <f t="shared" si="59"/>
        <v>41.4</v>
      </c>
      <c r="F199" s="76">
        <f t="shared" si="60"/>
        <v>0.4275</v>
      </c>
      <c r="G199" s="77">
        <f t="shared" si="61"/>
        <v>17.6985</v>
      </c>
      <c r="H199" s="77">
        <f t="shared" si="67"/>
        <v>-12.98083333333334</v>
      </c>
      <c r="I199" s="77"/>
      <c r="J199" s="76">
        <f t="shared" si="62"/>
        <v>-12.76742753623189</v>
      </c>
      <c r="K199" s="78">
        <f t="shared" si="56"/>
        <v>-0.9975281803542697</v>
      </c>
      <c r="L199" s="78">
        <f t="shared" si="63"/>
        <v>-0.8485975710645839</v>
      </c>
      <c r="M199" s="76">
        <f t="shared" si="64"/>
        <v>-15.018904111486536</v>
      </c>
      <c r="N199" s="76">
        <f t="shared" si="65"/>
        <v>1.9175276991701955</v>
      </c>
      <c r="O199" s="79">
        <f t="shared" si="66"/>
        <v>-20.0583</v>
      </c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</row>
    <row r="200" spans="1:31" ht="15.75" customHeight="1">
      <c r="A200" s="57"/>
      <c r="B200" s="81">
        <v>73</v>
      </c>
      <c r="C200" s="76">
        <f t="shared" si="57"/>
        <v>41.2</v>
      </c>
      <c r="D200" s="76">
        <f t="shared" si="58"/>
        <v>40.8</v>
      </c>
      <c r="E200" s="76">
        <f t="shared" si="59"/>
        <v>41</v>
      </c>
      <c r="F200" s="76">
        <f t="shared" si="60"/>
        <v>0.4275</v>
      </c>
      <c r="G200" s="77">
        <f t="shared" si="61"/>
        <v>17.5275</v>
      </c>
      <c r="H200" s="77">
        <f t="shared" si="67"/>
        <v>-12.55333333333334</v>
      </c>
      <c r="I200" s="77"/>
      <c r="J200" s="76">
        <f t="shared" si="62"/>
        <v>-12.33993089430895</v>
      </c>
      <c r="K200" s="78">
        <f t="shared" si="56"/>
        <v>-0.9625284552845552</v>
      </c>
      <c r="L200" s="78">
        <f t="shared" si="63"/>
        <v>-0.8283682916066288</v>
      </c>
      <c r="M200" s="76">
        <f t="shared" si="64"/>
        <v>-14.519225231135186</v>
      </c>
      <c r="N200" s="76">
        <f t="shared" si="65"/>
        <v>1.791662359911151</v>
      </c>
      <c r="O200" s="79">
        <f t="shared" si="66"/>
        <v>-19.8645</v>
      </c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</row>
    <row r="201" spans="1:31" ht="15.75" customHeight="1">
      <c r="A201" s="57"/>
      <c r="B201" s="63">
        <v>74</v>
      </c>
      <c r="C201" s="76">
        <f t="shared" si="57"/>
        <v>40.8</v>
      </c>
      <c r="D201" s="76">
        <f t="shared" si="58"/>
        <v>40.4</v>
      </c>
      <c r="E201" s="76">
        <f t="shared" si="59"/>
        <v>40.599999999999994</v>
      </c>
      <c r="F201" s="76">
        <f t="shared" si="60"/>
        <v>0.4275</v>
      </c>
      <c r="G201" s="77">
        <f t="shared" si="61"/>
        <v>17.356499999999997</v>
      </c>
      <c r="H201" s="77">
        <f t="shared" si="67"/>
        <v>-12.12583333333334</v>
      </c>
      <c r="I201" s="77"/>
      <c r="J201" s="76">
        <f t="shared" si="62"/>
        <v>-11.912434318555015</v>
      </c>
      <c r="K201" s="78">
        <f t="shared" si="56"/>
        <v>-0.9275287356321863</v>
      </c>
      <c r="L201" s="78">
        <f t="shared" si="63"/>
        <v>-0.8074448596798359</v>
      </c>
      <c r="M201" s="76">
        <f t="shared" si="64"/>
        <v>-14.01441670703307</v>
      </c>
      <c r="N201" s="76">
        <f t="shared" si="65"/>
        <v>1.6694581853539148</v>
      </c>
      <c r="O201" s="79">
        <f t="shared" si="66"/>
        <v>-19.670699999999997</v>
      </c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</row>
    <row r="202" spans="1:31" ht="15.75" customHeight="1">
      <c r="A202" s="57"/>
      <c r="B202" s="81">
        <v>75</v>
      </c>
      <c r="C202" s="76">
        <f t="shared" si="57"/>
        <v>40.4</v>
      </c>
      <c r="D202" s="76">
        <f t="shared" si="58"/>
        <v>40</v>
      </c>
      <c r="E202" s="76">
        <f t="shared" si="59"/>
        <v>40.2</v>
      </c>
      <c r="F202" s="76">
        <f t="shared" si="60"/>
        <v>0.4275</v>
      </c>
      <c r="G202" s="77">
        <f t="shared" si="61"/>
        <v>17.1855</v>
      </c>
      <c r="H202" s="77">
        <f t="shared" si="67"/>
        <v>-11.69833333333334</v>
      </c>
      <c r="I202" s="77"/>
      <c r="J202" s="76">
        <f t="shared" si="62"/>
        <v>-11.48493781094528</v>
      </c>
      <c r="K202" s="78">
        <f t="shared" si="56"/>
        <v>-0.8925290215588747</v>
      </c>
      <c r="L202" s="78">
        <f t="shared" si="63"/>
        <v>-0.7858272757080195</v>
      </c>
      <c r="M202" s="76">
        <f t="shared" si="64"/>
        <v>-13.50483464668017</v>
      </c>
      <c r="N202" s="76">
        <f t="shared" si="65"/>
        <v>1.5510218606422093</v>
      </c>
      <c r="O202" s="79">
        <f t="shared" si="66"/>
        <v>-19.4769</v>
      </c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</row>
    <row r="203" spans="1:31" ht="15.75" customHeight="1">
      <c r="A203" s="57"/>
      <c r="B203" s="63">
        <v>76</v>
      </c>
      <c r="C203" s="76">
        <f t="shared" si="57"/>
        <v>40</v>
      </c>
      <c r="D203" s="76">
        <f t="shared" si="58"/>
        <v>39.599999999999994</v>
      </c>
      <c r="E203" s="76">
        <f t="shared" si="59"/>
        <v>39.8</v>
      </c>
      <c r="F203" s="76">
        <f t="shared" si="60"/>
        <v>0.4275</v>
      </c>
      <c r="G203" s="77">
        <f t="shared" si="61"/>
        <v>17.014499999999998</v>
      </c>
      <c r="H203" s="77">
        <f t="shared" si="67"/>
        <v>-11.27083333333334</v>
      </c>
      <c r="I203" s="77"/>
      <c r="J203" s="76">
        <f t="shared" si="62"/>
        <v>-11.057441373534344</v>
      </c>
      <c r="K203" s="78">
        <f t="shared" si="56"/>
        <v>-0.8575293132328332</v>
      </c>
      <c r="L203" s="78">
        <f t="shared" si="63"/>
        <v>-0.7635155401320315</v>
      </c>
      <c r="M203" s="76">
        <f t="shared" si="64"/>
        <v>-12.990835157576448</v>
      </c>
      <c r="N203" s="76">
        <f t="shared" si="65"/>
        <v>1.4364539814815038</v>
      </c>
      <c r="O203" s="79">
        <f t="shared" si="66"/>
        <v>-19.283099999999997</v>
      </c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</row>
    <row r="204" spans="1:31" ht="15.75" customHeight="1">
      <c r="A204" s="57"/>
      <c r="B204" s="81">
        <v>77</v>
      </c>
      <c r="C204" s="76">
        <f t="shared" si="57"/>
        <v>39.599999999999994</v>
      </c>
      <c r="D204" s="76">
        <f t="shared" si="58"/>
        <v>39.2</v>
      </c>
      <c r="E204" s="76">
        <f t="shared" si="59"/>
        <v>39.4</v>
      </c>
      <c r="F204" s="76">
        <f t="shared" si="60"/>
        <v>0.4275</v>
      </c>
      <c r="G204" s="77">
        <f t="shared" si="61"/>
        <v>16.8435</v>
      </c>
      <c r="H204" s="77">
        <f t="shared" si="67"/>
        <v>-10.843333333333339</v>
      </c>
      <c r="I204" s="77"/>
      <c r="J204" s="76">
        <f t="shared" si="62"/>
        <v>-10.629945008460243</v>
      </c>
      <c r="K204" s="78">
        <f t="shared" si="56"/>
        <v>-0.8225296108291057</v>
      </c>
      <c r="L204" s="78">
        <f t="shared" si="63"/>
        <v>-0.7405096534106271</v>
      </c>
      <c r="M204" s="76">
        <f t="shared" si="64"/>
        <v>-12.472774347221897</v>
      </c>
      <c r="N204" s="76">
        <f t="shared" si="65"/>
        <v>1.3258490541390235</v>
      </c>
      <c r="O204" s="79">
        <f t="shared" si="66"/>
        <v>-19.089299999999998</v>
      </c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</row>
    <row r="205" spans="1:31" ht="15.75" customHeight="1">
      <c r="A205" s="57"/>
      <c r="B205" s="63">
        <v>78</v>
      </c>
      <c r="C205" s="76">
        <f t="shared" si="57"/>
        <v>39.2</v>
      </c>
      <c r="D205" s="76">
        <f t="shared" si="58"/>
        <v>38.8</v>
      </c>
      <c r="E205" s="76">
        <f t="shared" si="59"/>
        <v>39</v>
      </c>
      <c r="F205" s="76">
        <f t="shared" si="60"/>
        <v>0.4275</v>
      </c>
      <c r="G205" s="77">
        <f t="shared" si="61"/>
        <v>16.6725</v>
      </c>
      <c r="H205" s="77">
        <f t="shared" si="67"/>
        <v>-10.415833333333339</v>
      </c>
      <c r="I205" s="77"/>
      <c r="J205" s="76">
        <f t="shared" si="62"/>
        <v>-10.202448717948723</v>
      </c>
      <c r="K205" s="78">
        <f t="shared" si="56"/>
        <v>-0.7875299145299169</v>
      </c>
      <c r="L205" s="78">
        <f t="shared" si="63"/>
        <v>-0.7168096160213812</v>
      </c>
      <c r="M205" s="76">
        <f t="shared" si="64"/>
        <v>-11.951008323116477</v>
      </c>
      <c r="N205" s="76">
        <f t="shared" si="65"/>
        <v>1.2192954954437423</v>
      </c>
      <c r="O205" s="79">
        <f t="shared" si="66"/>
        <v>-18.8955</v>
      </c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</row>
    <row r="206" spans="1:31" ht="15.75" customHeight="1">
      <c r="A206" s="57"/>
      <c r="B206" s="81">
        <v>79</v>
      </c>
      <c r="C206" s="76">
        <f t="shared" si="57"/>
        <v>38.8</v>
      </c>
      <c r="D206" s="76">
        <f t="shared" si="58"/>
        <v>38.4</v>
      </c>
      <c r="E206" s="76">
        <f t="shared" si="59"/>
        <v>38.599999999999994</v>
      </c>
      <c r="F206" s="76">
        <f t="shared" si="60"/>
        <v>0.4275</v>
      </c>
      <c r="G206" s="77">
        <f t="shared" si="61"/>
        <v>16.501499999999997</v>
      </c>
      <c r="H206" s="77">
        <f t="shared" si="67"/>
        <v>-9.988333333333339</v>
      </c>
      <c r="I206" s="77"/>
      <c r="J206" s="76">
        <f t="shared" si="62"/>
        <v>-9.774952504317795</v>
      </c>
      <c r="K206" s="78">
        <f t="shared" si="56"/>
        <v>-0.7525302245250457</v>
      </c>
      <c r="L206" s="78">
        <f t="shared" si="63"/>
        <v>-0.6924154284616657</v>
      </c>
      <c r="M206" s="76">
        <f t="shared" si="64"/>
        <v>-11.425893192760174</v>
      </c>
      <c r="N206" s="76">
        <f t="shared" si="65"/>
        <v>1.1168756327863871</v>
      </c>
      <c r="O206" s="79">
        <f t="shared" si="66"/>
        <v>-18.701699999999995</v>
      </c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</row>
    <row r="207" spans="1:31" ht="15.75" customHeight="1">
      <c r="A207" s="57"/>
      <c r="B207" s="63">
        <v>80</v>
      </c>
      <c r="C207" s="76">
        <f t="shared" si="57"/>
        <v>38.4</v>
      </c>
      <c r="D207" s="76">
        <f t="shared" si="58"/>
        <v>38</v>
      </c>
      <c r="E207" s="76">
        <f t="shared" si="59"/>
        <v>38.2</v>
      </c>
      <c r="F207" s="76">
        <f t="shared" si="60"/>
        <v>0.4275</v>
      </c>
      <c r="G207" s="77">
        <f t="shared" si="61"/>
        <v>16.3305</v>
      </c>
      <c r="H207" s="77">
        <f t="shared" si="67"/>
        <v>-9.560833333333338</v>
      </c>
      <c r="I207" s="77"/>
      <c r="J207" s="76">
        <f t="shared" si="62"/>
        <v>-9.347456369982552</v>
      </c>
      <c r="K207" s="78">
        <f t="shared" si="56"/>
        <v>-0.7175305410122188</v>
      </c>
      <c r="L207" s="78">
        <f t="shared" si="63"/>
        <v>-0.6673270912496831</v>
      </c>
      <c r="M207" s="76">
        <f t="shared" si="64"/>
        <v>-10.89778506365295</v>
      </c>
      <c r="N207" s="76">
        <f t="shared" si="65"/>
        <v>1.018665704119435</v>
      </c>
      <c r="O207" s="79">
        <f t="shared" si="66"/>
        <v>-18.5079</v>
      </c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</row>
    <row r="208" spans="1:31" ht="15.75" customHeight="1">
      <c r="A208" s="57"/>
      <c r="B208" s="81">
        <v>81</v>
      </c>
      <c r="C208" s="76">
        <f t="shared" si="57"/>
        <v>38</v>
      </c>
      <c r="D208" s="76">
        <f t="shared" si="58"/>
        <v>37.6</v>
      </c>
      <c r="E208" s="76">
        <f t="shared" si="59"/>
        <v>37.8</v>
      </c>
      <c r="F208" s="76">
        <f t="shared" si="60"/>
        <v>0.4275</v>
      </c>
      <c r="G208" s="77">
        <f t="shared" si="61"/>
        <v>16.159499999999998</v>
      </c>
      <c r="H208" s="77">
        <f t="shared" si="67"/>
        <v>-9.133333333333338</v>
      </c>
      <c r="I208" s="77"/>
      <c r="J208" s="76">
        <f t="shared" si="62"/>
        <v>-8.919960317460323</v>
      </c>
      <c r="K208" s="78">
        <f t="shared" si="56"/>
        <v>-0.6825308641975334</v>
      </c>
      <c r="L208" s="78">
        <f t="shared" si="63"/>
        <v>-0.6415446049255722</v>
      </c>
      <c r="M208" s="76">
        <f t="shared" si="64"/>
        <v>-10.367040043294782</v>
      </c>
      <c r="N208" s="76">
        <f t="shared" si="65"/>
        <v>0.924735857957116</v>
      </c>
      <c r="O208" s="79">
        <f t="shared" si="66"/>
        <v>-18.314099999999996</v>
      </c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</row>
    <row r="209" spans="1:31" ht="15.75" customHeight="1">
      <c r="A209" s="57"/>
      <c r="B209" s="63">
        <v>82</v>
      </c>
      <c r="C209" s="76">
        <f t="shared" si="57"/>
        <v>37.6</v>
      </c>
      <c r="D209" s="76">
        <f t="shared" si="58"/>
        <v>37.199999999999996</v>
      </c>
      <c r="E209" s="76">
        <f t="shared" si="59"/>
        <v>37.4</v>
      </c>
      <c r="F209" s="76">
        <f t="shared" si="60"/>
        <v>0.4275</v>
      </c>
      <c r="G209" s="77">
        <f t="shared" si="61"/>
        <v>15.988499999999998</v>
      </c>
      <c r="H209" s="77">
        <f t="shared" si="67"/>
        <v>-8.705833333333338</v>
      </c>
      <c r="I209" s="77"/>
      <c r="J209" s="76">
        <f t="shared" si="62"/>
        <v>-8.49246434937612</v>
      </c>
      <c r="K209" s="78">
        <f t="shared" si="56"/>
        <v>-0.6475311942959027</v>
      </c>
      <c r="L209" s="78">
        <f t="shared" si="63"/>
        <v>-0.6150679700525777</v>
      </c>
      <c r="M209" s="76">
        <f t="shared" si="64"/>
        <v>-9.834014239185638</v>
      </c>
      <c r="N209" s="76">
        <f t="shared" si="65"/>
        <v>0.8351501533754115</v>
      </c>
      <c r="O209" s="79">
        <f t="shared" si="66"/>
        <v>-18.120299999999997</v>
      </c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</row>
    <row r="210" spans="1:31" ht="15.75" customHeight="1">
      <c r="A210" s="57"/>
      <c r="B210" s="81">
        <v>83</v>
      </c>
      <c r="C210" s="76">
        <f t="shared" si="57"/>
        <v>37.199999999999996</v>
      </c>
      <c r="D210" s="76">
        <f t="shared" si="58"/>
        <v>36.8</v>
      </c>
      <c r="E210" s="76">
        <f t="shared" si="59"/>
        <v>37</v>
      </c>
      <c r="F210" s="76">
        <f t="shared" si="60"/>
        <v>0.4275</v>
      </c>
      <c r="G210" s="77">
        <f t="shared" si="61"/>
        <v>15.817499999999999</v>
      </c>
      <c r="H210" s="77">
        <f t="shared" si="67"/>
        <v>-8.278333333333338</v>
      </c>
      <c r="I210" s="77"/>
      <c r="J210" s="76">
        <f t="shared" si="62"/>
        <v>-8.064968468468473</v>
      </c>
      <c r="K210" s="78">
        <f t="shared" si="56"/>
        <v>-0.6125315315315341</v>
      </c>
      <c r="L210" s="78">
        <f t="shared" si="63"/>
        <v>-0.5878971872183013</v>
      </c>
      <c r="M210" s="76">
        <f t="shared" si="64"/>
        <v>-9.299063758825481</v>
      </c>
      <c r="N210" s="76">
        <f t="shared" si="65"/>
        <v>0.7499665600120542</v>
      </c>
      <c r="O210" s="79">
        <f t="shared" si="66"/>
        <v>-17.926499999999997</v>
      </c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</row>
    <row r="211" spans="1:31" ht="15.75" customHeight="1">
      <c r="A211" s="57"/>
      <c r="B211" s="63">
        <v>84</v>
      </c>
      <c r="C211" s="76">
        <f t="shared" si="57"/>
        <v>36.8</v>
      </c>
      <c r="D211" s="76">
        <f t="shared" si="58"/>
        <v>36.4</v>
      </c>
      <c r="E211" s="76">
        <f t="shared" si="59"/>
        <v>36.599999999999994</v>
      </c>
      <c r="F211" s="76">
        <f t="shared" si="60"/>
        <v>0.4275</v>
      </c>
      <c r="G211" s="77">
        <f t="shared" si="61"/>
        <v>15.646499999999998</v>
      </c>
      <c r="H211" s="77">
        <f t="shared" si="67"/>
        <v>-7.8508333333333375</v>
      </c>
      <c r="I211" s="77"/>
      <c r="J211" s="76">
        <f t="shared" si="62"/>
        <v>-7.637472677595633</v>
      </c>
      <c r="K211" s="78">
        <f t="shared" si="56"/>
        <v>-0.577531876138436</v>
      </c>
      <c r="L211" s="78">
        <f t="shared" si="63"/>
        <v>-0.5600322570360327</v>
      </c>
      <c r="M211" s="76">
        <f t="shared" si="64"/>
        <v>-8.762544709714284</v>
      </c>
      <c r="N211" s="76">
        <f t="shared" si="65"/>
        <v>0.66923695806653</v>
      </c>
      <c r="O211" s="79">
        <f t="shared" si="66"/>
        <v>-17.732699999999998</v>
      </c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</row>
    <row r="212" spans="1:31" ht="15.75" customHeight="1">
      <c r="A212" s="57"/>
      <c r="B212" s="81">
        <v>85</v>
      </c>
      <c r="C212" s="76">
        <f t="shared" si="57"/>
        <v>36.4</v>
      </c>
      <c r="D212" s="76">
        <f t="shared" si="58"/>
        <v>36</v>
      </c>
      <c r="E212" s="76">
        <f t="shared" si="59"/>
        <v>36.2</v>
      </c>
      <c r="F212" s="76">
        <f t="shared" si="60"/>
        <v>0.4275</v>
      </c>
      <c r="G212" s="77">
        <f t="shared" si="61"/>
        <v>15.4755</v>
      </c>
      <c r="H212" s="77">
        <f t="shared" si="67"/>
        <v>-7.423333333333337</v>
      </c>
      <c r="I212" s="77"/>
      <c r="J212" s="76">
        <f t="shared" si="62"/>
        <v>-7.209976979742177</v>
      </c>
      <c r="K212" s="78">
        <f t="shared" si="56"/>
        <v>-0.5425322283609602</v>
      </c>
      <c r="L212" s="78">
        <f t="shared" si="63"/>
        <v>-0.5314731801461672</v>
      </c>
      <c r="M212" s="76">
        <f t="shared" si="64"/>
        <v>-8.22481319935201</v>
      </c>
      <c r="N212" s="76">
        <f t="shared" si="65"/>
        <v>0.5930071383000759</v>
      </c>
      <c r="O212" s="79">
        <f t="shared" si="66"/>
        <v>-17.538899999999998</v>
      </c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</row>
    <row r="213" spans="1:31" ht="15.75" customHeight="1">
      <c r="A213" s="57"/>
      <c r="B213" s="63">
        <v>86</v>
      </c>
      <c r="C213" s="76">
        <f t="shared" si="57"/>
        <v>36</v>
      </c>
      <c r="D213" s="76">
        <f t="shared" si="58"/>
        <v>35.6</v>
      </c>
      <c r="E213" s="76">
        <f t="shared" si="59"/>
        <v>35.8</v>
      </c>
      <c r="F213" s="76">
        <f t="shared" si="60"/>
        <v>0.4275</v>
      </c>
      <c r="G213" s="77">
        <f t="shared" si="61"/>
        <v>15.304499999999999</v>
      </c>
      <c r="H213" s="77">
        <f t="shared" si="67"/>
        <v>-6.995833333333337</v>
      </c>
      <c r="I213" s="77"/>
      <c r="J213" s="76">
        <f t="shared" si="62"/>
        <v>-6.782481378026074</v>
      </c>
      <c r="K213" s="78">
        <f t="shared" si="56"/>
        <v>-0.5075325884543787</v>
      </c>
      <c r="L213" s="78">
        <f t="shared" si="63"/>
        <v>-0.502219957217722</v>
      </c>
      <c r="M213" s="76">
        <f t="shared" si="64"/>
        <v>-7.686225335238625</v>
      </c>
      <c r="N213" s="76">
        <f t="shared" si="65"/>
        <v>0.521316802035682</v>
      </c>
      <c r="O213" s="79">
        <f t="shared" si="66"/>
        <v>-17.3451</v>
      </c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</row>
    <row r="214" spans="1:31" ht="15.75" customHeight="1">
      <c r="A214" s="57"/>
      <c r="B214" s="81">
        <v>87</v>
      </c>
      <c r="C214" s="76">
        <f t="shared" si="57"/>
        <v>35.6</v>
      </c>
      <c r="D214" s="76">
        <f t="shared" si="58"/>
        <v>35.199999999999996</v>
      </c>
      <c r="E214" s="76">
        <f t="shared" si="59"/>
        <v>35.4</v>
      </c>
      <c r="F214" s="76">
        <f t="shared" si="60"/>
        <v>0.4275</v>
      </c>
      <c r="G214" s="77">
        <f t="shared" si="61"/>
        <v>15.1335</v>
      </c>
      <c r="H214" s="77">
        <f t="shared" si="67"/>
        <v>-6.568333333333337</v>
      </c>
      <c r="I214" s="77"/>
      <c r="J214" s="76">
        <f t="shared" si="62"/>
        <v>-6.354985875706218</v>
      </c>
      <c r="K214" s="78">
        <f t="shared" si="56"/>
        <v>-0.47253295668550155</v>
      </c>
      <c r="L214" s="78">
        <f t="shared" si="63"/>
        <v>-0.4722725889499516</v>
      </c>
      <c r="M214" s="76">
        <f t="shared" si="64"/>
        <v>-7.1471372248740925</v>
      </c>
      <c r="N214" s="76">
        <f t="shared" si="65"/>
        <v>0.45419956115808996</v>
      </c>
      <c r="O214" s="79">
        <f t="shared" si="66"/>
        <v>-17.1513</v>
      </c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</row>
    <row r="215" spans="1:31" ht="15.75" customHeight="1">
      <c r="A215" s="57"/>
      <c r="B215" s="63">
        <v>88</v>
      </c>
      <c r="C215" s="76">
        <f t="shared" si="57"/>
        <v>35.199999999999996</v>
      </c>
      <c r="D215" s="76">
        <f t="shared" si="58"/>
        <v>34.8</v>
      </c>
      <c r="E215" s="76">
        <f t="shared" si="59"/>
        <v>35</v>
      </c>
      <c r="F215" s="76">
        <f t="shared" si="60"/>
        <v>0.4275</v>
      </c>
      <c r="G215" s="77">
        <f t="shared" si="61"/>
        <v>14.9625</v>
      </c>
      <c r="H215" s="77">
        <f t="shared" si="67"/>
        <v>-6.140833333333337</v>
      </c>
      <c r="I215" s="77"/>
      <c r="J215" s="76">
        <f t="shared" si="62"/>
        <v>-5.92749047619048</v>
      </c>
      <c r="K215" s="78">
        <f t="shared" si="56"/>
        <v>-0.4375333333333359</v>
      </c>
      <c r="L215" s="78">
        <f t="shared" si="63"/>
        <v>-0.44163107607407626</v>
      </c>
      <c r="M215" s="76">
        <f t="shared" si="64"/>
        <v>-6.607904975758366</v>
      </c>
      <c r="N215" s="76">
        <f t="shared" si="65"/>
        <v>0.391682938113794</v>
      </c>
      <c r="O215" s="79">
        <f t="shared" si="66"/>
        <v>-16.9575</v>
      </c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</row>
    <row r="216" spans="1:31" ht="15.75" customHeight="1">
      <c r="A216" s="57"/>
      <c r="B216" s="81">
        <v>89</v>
      </c>
      <c r="C216" s="76">
        <f t="shared" si="57"/>
        <v>34.8</v>
      </c>
      <c r="D216" s="76">
        <f t="shared" si="58"/>
        <v>34.4</v>
      </c>
      <c r="E216" s="76">
        <f t="shared" si="59"/>
        <v>34.599999999999994</v>
      </c>
      <c r="F216" s="76">
        <f t="shared" si="60"/>
        <v>0.4275</v>
      </c>
      <c r="G216" s="77">
        <f t="shared" si="61"/>
        <v>14.791499999999997</v>
      </c>
      <c r="H216" s="77">
        <f t="shared" si="67"/>
        <v>-5.7133333333333365</v>
      </c>
      <c r="I216" s="77"/>
      <c r="J216" s="76">
        <f t="shared" si="62"/>
        <v>-5.4999951830443194</v>
      </c>
      <c r="K216" s="78">
        <f t="shared" si="56"/>
        <v>-0.40253371868979065</v>
      </c>
      <c r="L216" s="78">
        <f t="shared" si="63"/>
        <v>-0.4102954193551304</v>
      </c>
      <c r="M216" s="76">
        <f t="shared" si="64"/>
        <v>-6.068884695391411</v>
      </c>
      <c r="N216" s="76">
        <f t="shared" si="65"/>
        <v>0.33378836591104155</v>
      </c>
      <c r="O216" s="79">
        <f t="shared" si="66"/>
        <v>-16.763699999999996</v>
      </c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</row>
    <row r="217" spans="1:31" ht="15.75" customHeight="1">
      <c r="A217" s="57"/>
      <c r="B217" s="63">
        <v>90</v>
      </c>
      <c r="C217" s="76">
        <f t="shared" si="57"/>
        <v>34.4</v>
      </c>
      <c r="D217" s="76">
        <f t="shared" si="58"/>
        <v>34</v>
      </c>
      <c r="E217" s="76">
        <f t="shared" si="59"/>
        <v>34.2</v>
      </c>
      <c r="F217" s="76">
        <f t="shared" si="60"/>
        <v>0.4275</v>
      </c>
      <c r="G217" s="77">
        <f t="shared" si="61"/>
        <v>14.620500000000002</v>
      </c>
      <c r="H217" s="77">
        <f t="shared" si="67"/>
        <v>-5.285833333333336</v>
      </c>
      <c r="I217" s="77"/>
      <c r="J217" s="76">
        <f t="shared" si="62"/>
        <v>-5.072500000000003</v>
      </c>
      <c r="K217" s="78">
        <f t="shared" si="56"/>
        <v>-0.36753411306043143</v>
      </c>
      <c r="L217" s="78">
        <f t="shared" si="63"/>
        <v>-0.3782656195939389</v>
      </c>
      <c r="M217" s="76">
        <f t="shared" si="64"/>
        <v>-5.530432491273184</v>
      </c>
      <c r="N217" s="76">
        <f t="shared" si="65"/>
        <v>0.28053118811983246</v>
      </c>
      <c r="O217" s="79">
        <f t="shared" si="66"/>
        <v>-16.5699</v>
      </c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</row>
    <row r="218" spans="1:31" ht="15.75" customHeight="1">
      <c r="A218" s="57"/>
      <c r="B218" s="81">
        <v>91</v>
      </c>
      <c r="C218" s="76">
        <f t="shared" si="57"/>
        <v>34</v>
      </c>
      <c r="D218" s="76">
        <f t="shared" si="58"/>
        <v>33.6</v>
      </c>
      <c r="E218" s="76">
        <f t="shared" si="59"/>
        <v>33.8</v>
      </c>
      <c r="F218" s="76">
        <f t="shared" si="60"/>
        <v>0.4275</v>
      </c>
      <c r="G218" s="77">
        <f t="shared" si="61"/>
        <v>14.449499999999999</v>
      </c>
      <c r="H218" s="77">
        <f t="shared" si="67"/>
        <v>-4.858333333333336</v>
      </c>
      <c r="I218" s="77"/>
      <c r="J218" s="76">
        <f t="shared" si="62"/>
        <v>-4.645004930966472</v>
      </c>
      <c r="K218" s="78">
        <f t="shared" si="56"/>
        <v>-0.33253451676528856</v>
      </c>
      <c r="L218" s="78">
        <f t="shared" si="63"/>
        <v>-0.34554167762923527</v>
      </c>
      <c r="M218" s="76">
        <f t="shared" si="64"/>
        <v>-4.9929044709036345</v>
      </c>
      <c r="N218" s="76">
        <f t="shared" si="65"/>
        <v>0.23192065887191926</v>
      </c>
      <c r="O218" s="79">
        <f t="shared" si="66"/>
        <v>-16.376099999999997</v>
      </c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</row>
    <row r="219" spans="1:31" ht="15.75" customHeight="1">
      <c r="A219" s="57"/>
      <c r="B219" s="63">
        <v>92</v>
      </c>
      <c r="C219" s="76">
        <f t="shared" si="57"/>
        <v>33.6</v>
      </c>
      <c r="D219" s="76">
        <f t="shared" si="58"/>
        <v>33.199999999999996</v>
      </c>
      <c r="E219" s="76">
        <f t="shared" si="59"/>
        <v>33.4</v>
      </c>
      <c r="F219" s="76">
        <f t="shared" si="60"/>
        <v>0.4275</v>
      </c>
      <c r="G219" s="77">
        <f t="shared" si="61"/>
        <v>14.2785</v>
      </c>
      <c r="H219" s="77">
        <f t="shared" si="67"/>
        <v>-4.430833333333336</v>
      </c>
      <c r="I219" s="77"/>
      <c r="J219" s="76">
        <f t="shared" si="62"/>
        <v>-4.217509980039923</v>
      </c>
      <c r="K219" s="78">
        <f t="shared" si="56"/>
        <v>-0.29753493013972315</v>
      </c>
      <c r="L219" s="78">
        <f t="shared" si="63"/>
        <v>-0.3121235943399321</v>
      </c>
      <c r="M219" s="76">
        <f t="shared" si="64"/>
        <v>-4.45665674178272</v>
      </c>
      <c r="N219" s="76">
        <f t="shared" si="65"/>
        <v>0.18795994286080828</v>
      </c>
      <c r="O219" s="79">
        <f t="shared" si="66"/>
        <v>-16.182299999999998</v>
      </c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</row>
    <row r="220" spans="1:31" ht="15.75" customHeight="1">
      <c r="A220" s="57"/>
      <c r="B220" s="81">
        <v>93</v>
      </c>
      <c r="C220" s="76">
        <f t="shared" si="57"/>
        <v>33.199999999999996</v>
      </c>
      <c r="D220" s="76">
        <f t="shared" si="58"/>
        <v>32.8</v>
      </c>
      <c r="E220" s="76">
        <f t="shared" si="59"/>
        <v>33</v>
      </c>
      <c r="F220" s="76">
        <f t="shared" si="60"/>
        <v>0.4275</v>
      </c>
      <c r="G220" s="77">
        <f t="shared" si="61"/>
        <v>14.1075</v>
      </c>
      <c r="H220" s="77">
        <f t="shared" si="67"/>
        <v>-4.003333333333336</v>
      </c>
      <c r="I220" s="77"/>
      <c r="J220" s="76">
        <f t="shared" si="62"/>
        <v>-3.7900151515151537</v>
      </c>
      <c r="K220" s="78">
        <f t="shared" si="56"/>
        <v>-0.2625353535353561</v>
      </c>
      <c r="L220" s="78">
        <f t="shared" si="63"/>
        <v>-0.27801137064755543</v>
      </c>
      <c r="M220" s="76">
        <f t="shared" si="64"/>
        <v>-3.922045411410388</v>
      </c>
      <c r="N220" s="76">
        <f t="shared" si="65"/>
        <v>0.14864611534175856</v>
      </c>
      <c r="O220" s="79">
        <f t="shared" si="66"/>
        <v>-15.9885</v>
      </c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</row>
    <row r="221" spans="1:31" ht="15.75" customHeight="1">
      <c r="A221" s="57"/>
      <c r="B221" s="63">
        <v>94</v>
      </c>
      <c r="C221" s="76">
        <f t="shared" si="57"/>
        <v>32.8</v>
      </c>
      <c r="D221" s="76">
        <f t="shared" si="58"/>
        <v>32.4</v>
      </c>
      <c r="E221" s="76">
        <f t="shared" si="59"/>
        <v>32.599999999999994</v>
      </c>
      <c r="F221" s="76">
        <f t="shared" si="60"/>
        <v>0.4275</v>
      </c>
      <c r="G221" s="77">
        <f t="shared" si="61"/>
        <v>13.936499999999997</v>
      </c>
      <c r="H221" s="77">
        <f t="shared" si="67"/>
        <v>-3.5758333333333354</v>
      </c>
      <c r="I221" s="77"/>
      <c r="J221" s="76">
        <f t="shared" si="62"/>
        <v>-3.362520449897753</v>
      </c>
      <c r="K221" s="78">
        <f t="shared" si="56"/>
        <v>-0.227535787321066</v>
      </c>
      <c r="L221" s="78">
        <f t="shared" si="63"/>
        <v>-0.24320500751885987</v>
      </c>
      <c r="M221" s="76">
        <f t="shared" si="64"/>
        <v>-3.38942658728659</v>
      </c>
      <c r="N221" s="76">
        <f t="shared" si="65"/>
        <v>0.1139701621317831</v>
      </c>
      <c r="O221" s="79">
        <f t="shared" si="66"/>
        <v>-15.794699999999997</v>
      </c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</row>
    <row r="222" spans="1:31" ht="15.75" customHeight="1">
      <c r="A222" s="57"/>
      <c r="B222" s="81">
        <v>95</v>
      </c>
      <c r="C222" s="76">
        <f t="shared" si="57"/>
        <v>32.4</v>
      </c>
      <c r="D222" s="76">
        <f t="shared" si="58"/>
        <v>32</v>
      </c>
      <c r="E222" s="76">
        <f t="shared" si="59"/>
        <v>32.2</v>
      </c>
      <c r="F222" s="76">
        <f t="shared" si="60"/>
        <v>0.4275</v>
      </c>
      <c r="G222" s="77">
        <f t="shared" si="61"/>
        <v>13.765500000000001</v>
      </c>
      <c r="H222" s="77">
        <f t="shared" si="67"/>
        <v>-3.148333333333335</v>
      </c>
      <c r="I222" s="77"/>
      <c r="J222" s="76">
        <f t="shared" si="62"/>
        <v>-2.935025879917186</v>
      </c>
      <c r="K222" s="78">
        <f t="shared" si="56"/>
        <v>-0.1925362318840606</v>
      </c>
      <c r="L222" s="78">
        <f t="shared" si="63"/>
        <v>-0.2077045059686368</v>
      </c>
      <c r="M222" s="76">
        <f t="shared" si="64"/>
        <v>-2.8591563769112702</v>
      </c>
      <c r="N222" s="76">
        <f t="shared" si="65"/>
        <v>0.08391697960964835</v>
      </c>
      <c r="O222" s="79">
        <f t="shared" si="66"/>
        <v>-15.600900000000001</v>
      </c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</row>
    <row r="223" spans="1:31" ht="15.75" customHeight="1">
      <c r="A223" s="57"/>
      <c r="B223" s="63">
        <v>96</v>
      </c>
      <c r="C223" s="76">
        <f t="shared" si="57"/>
        <v>32</v>
      </c>
      <c r="D223" s="76">
        <f t="shared" si="58"/>
        <v>31.599999999999994</v>
      </c>
      <c r="E223" s="76">
        <f t="shared" si="59"/>
        <v>31.799999999999997</v>
      </c>
      <c r="F223" s="76">
        <f t="shared" si="60"/>
        <v>0.4275</v>
      </c>
      <c r="G223" s="77">
        <f t="shared" si="61"/>
        <v>13.594499999999998</v>
      </c>
      <c r="H223" s="77">
        <f t="shared" si="67"/>
        <v>-2.720833333333335</v>
      </c>
      <c r="I223" s="77"/>
      <c r="J223" s="76">
        <f t="shared" si="62"/>
        <v>-2.5075314465408822</v>
      </c>
      <c r="K223" s="78">
        <f t="shared" si="56"/>
        <v>-0.15753668763102988</v>
      </c>
      <c r="L223" s="78">
        <f t="shared" si="63"/>
        <v>-0.17150986706273608</v>
      </c>
      <c r="M223" s="76">
        <f t="shared" si="64"/>
        <v>-2.3315908877843654</v>
      </c>
      <c r="N223" s="76">
        <f t="shared" si="65"/>
        <v>0.05846537471587469</v>
      </c>
      <c r="O223" s="79">
        <f t="shared" si="66"/>
        <v>-15.407099999999998</v>
      </c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</row>
    <row r="224" spans="1:31" ht="15.75" customHeight="1">
      <c r="A224" s="57"/>
      <c r="B224" s="81">
        <v>97</v>
      </c>
      <c r="C224" s="76">
        <f t="shared" si="57"/>
        <v>31.599999999999994</v>
      </c>
      <c r="D224" s="76">
        <f t="shared" si="58"/>
        <v>31.199999999999996</v>
      </c>
      <c r="E224" s="76">
        <f t="shared" si="59"/>
        <v>31.399999999999995</v>
      </c>
      <c r="F224" s="76">
        <f t="shared" si="60"/>
        <v>0.4275</v>
      </c>
      <c r="G224" s="77">
        <f t="shared" si="61"/>
        <v>13.423499999999997</v>
      </c>
      <c r="H224" s="77">
        <f t="shared" si="67"/>
        <v>-2.293333333333335</v>
      </c>
      <c r="I224" s="77"/>
      <c r="J224" s="76">
        <f t="shared" si="62"/>
        <v>-2.0800371549893857</v>
      </c>
      <c r="K224" s="78">
        <f>$K$126+$M$126*J224</f>
        <v>-0.12253715498938691</v>
      </c>
      <c r="L224" s="78">
        <f t="shared" si="63"/>
        <v>-0.13462109192131885</v>
      </c>
      <c r="M224" s="76">
        <f t="shared" si="64"/>
        <v>-1.8070862274058233</v>
      </c>
      <c r="N224" s="76">
        <f t="shared" si="65"/>
        <v>0.03758806495273711</v>
      </c>
      <c r="O224" s="79">
        <f t="shared" si="66"/>
        <v>-15.213299999999997</v>
      </c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</row>
    <row r="225" spans="1:31" ht="15.75" customHeight="1">
      <c r="A225" s="57"/>
      <c r="B225" s="63">
        <v>98</v>
      </c>
      <c r="C225" s="76">
        <f t="shared" si="57"/>
        <v>31.199999999999996</v>
      </c>
      <c r="D225" s="76">
        <f t="shared" si="58"/>
        <v>30.799999999999997</v>
      </c>
      <c r="E225" s="76">
        <f t="shared" si="59"/>
        <v>30.999999999999996</v>
      </c>
      <c r="F225" s="76">
        <f t="shared" si="60"/>
        <v>0.4275</v>
      </c>
      <c r="G225" s="77">
        <f t="shared" si="61"/>
        <v>13.252499999999998</v>
      </c>
      <c r="H225" s="77">
        <f t="shared" si="67"/>
        <v>-1.8658333333333348</v>
      </c>
      <c r="I225" s="77"/>
      <c r="J225" s="76">
        <f t="shared" si="62"/>
        <v>-1.6525430107526897</v>
      </c>
      <c r="K225" s="78">
        <f>$K$126+$M$126*J225</f>
        <v>-0.08753763440860482</v>
      </c>
      <c r="L225" s="78">
        <f t="shared" si="63"/>
        <v>-0.09703818172235994</v>
      </c>
      <c r="M225" s="76">
        <f t="shared" si="64"/>
        <v>-1.2859985032755747</v>
      </c>
      <c r="N225" s="76">
        <f t="shared" si="65"/>
        <v>0.021251678384264713</v>
      </c>
      <c r="O225" s="79">
        <f t="shared" si="66"/>
        <v>-15.019499999999997</v>
      </c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</row>
    <row r="226" spans="1:31" ht="15.75" customHeight="1">
      <c r="A226" s="57"/>
      <c r="B226" s="81">
        <v>99</v>
      </c>
      <c r="C226" s="76">
        <f t="shared" si="57"/>
        <v>30.799999999999997</v>
      </c>
      <c r="D226" s="76">
        <f t="shared" si="58"/>
        <v>30.4</v>
      </c>
      <c r="E226" s="76">
        <f t="shared" si="59"/>
        <v>30.599999999999998</v>
      </c>
      <c r="F226" s="76">
        <f t="shared" si="60"/>
        <v>0.4275</v>
      </c>
      <c r="G226" s="77">
        <f t="shared" si="61"/>
        <v>13.081499999999998</v>
      </c>
      <c r="H226" s="77">
        <f t="shared" si="67"/>
        <v>-1.4383333333333348</v>
      </c>
      <c r="I226" s="77"/>
      <c r="J226" s="76">
        <f t="shared" si="62"/>
        <v>-1.2250490196078445</v>
      </c>
      <c r="K226" s="78">
        <f>$K$126+$M$126*J226</f>
        <v>-0.05253812636165846</v>
      </c>
      <c r="L226" s="78">
        <f t="shared" si="63"/>
        <v>-0.05876113770542808</v>
      </c>
      <c r="M226" s="76">
        <f t="shared" si="64"/>
        <v>-0.7686838228935574</v>
      </c>
      <c r="N226" s="76">
        <f t="shared" si="65"/>
        <v>0.009416753636241625</v>
      </c>
      <c r="O226" s="79">
        <f t="shared" si="66"/>
        <v>-14.825699999999998</v>
      </c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</row>
    <row r="227" spans="1:31" ht="15.75" customHeight="1" thickBot="1">
      <c r="A227" s="57"/>
      <c r="B227" s="247">
        <v>100</v>
      </c>
      <c r="C227" s="95">
        <f t="shared" si="57"/>
        <v>30.4</v>
      </c>
      <c r="D227" s="95">
        <f t="shared" si="58"/>
        <v>30</v>
      </c>
      <c r="E227" s="95">
        <f t="shared" si="59"/>
        <v>30.2</v>
      </c>
      <c r="F227" s="95">
        <f t="shared" si="60"/>
        <v>0.4275</v>
      </c>
      <c r="G227" s="96">
        <f t="shared" si="61"/>
        <v>12.910499999999999</v>
      </c>
      <c r="H227" s="96">
        <f t="shared" si="67"/>
        <v>-1.0108333333333348</v>
      </c>
      <c r="I227" s="96"/>
      <c r="J227" s="95">
        <f t="shared" si="62"/>
        <v>-0.7975551876379705</v>
      </c>
      <c r="K227" s="83">
        <f>$K$126+$M$126*J227</f>
        <v>-0.01753863134658107</v>
      </c>
      <c r="L227" s="83">
        <f t="shared" si="63"/>
        <v>-0.01978996117576373</v>
      </c>
      <c r="M227" s="95">
        <f t="shared" si="64"/>
        <v>-0.2554982937596976</v>
      </c>
      <c r="N227" s="95">
        <f t="shared" si="65"/>
        <v>0.0020377398962069695</v>
      </c>
      <c r="O227" s="94">
        <f t="shared" si="66"/>
        <v>-14.631899999999998</v>
      </c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</row>
    <row r="228" spans="1:31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</row>
  </sheetData>
  <sheetProtection/>
  <mergeCells count="2">
    <mergeCell ref="B11:D11"/>
    <mergeCell ref="B10:D10"/>
  </mergeCells>
  <conditionalFormatting sqref="N23:N124">
    <cfRule type="cellIs" priority="1" dxfId="10" operator="greaterThan" stopIfTrue="1">
      <formula>M23</formula>
    </cfRule>
  </conditionalFormatting>
  <conditionalFormatting sqref="H13">
    <cfRule type="cellIs" priority="2" dxfId="1" operator="equal" stopIfTrue="1">
      <formula>0.02</formula>
    </cfRule>
  </conditionalFormatting>
  <conditionalFormatting sqref="R15:R16">
    <cfRule type="cellIs" priority="3" dxfId="0" operator="greaterThan" stopIfTrue="1">
      <formula>$R$17</formula>
    </cfRule>
  </conditionalFormatting>
  <printOptions/>
  <pageMargins left="0.787401575" right="0.787401575" top="0.65" bottom="0.41" header="0.4921259845" footer="0.26"/>
  <pageSetup fitToHeight="7" fitToWidth="2" horizontalDpi="300" verticalDpi="3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21, HAWK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Biegebemessung von Stahlbetonquerschnitten</dc:title>
  <dc:subject>Stahlbeton</dc:subject>
  <dc:creator>Dr. Jens Göttsche</dc:creator>
  <cp:keywords>Lehrmodul</cp:keywords>
  <dc:description>Kontakt: goettsche@hs21.de
Anschrift: Harburger Str. 6, 21614 Buxtehude
Tel. 04161 - 648 -0 (DW: -153, Fax: -123)</dc:description>
  <cp:lastModifiedBy>Goettsche</cp:lastModifiedBy>
  <cp:lastPrinted>2002-04-17T18:49:49Z</cp:lastPrinted>
  <dcterms:created xsi:type="dcterms:W3CDTF">1998-03-11T08:09:12Z</dcterms:created>
  <dcterms:modified xsi:type="dcterms:W3CDTF">2013-04-13T16:03:24Z</dcterms:modified>
  <cp:category>Lehre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