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5" yWindow="65356" windowWidth="12330" windowHeight="8835" tabRatio="342" activeTab="2"/>
  </bookViews>
  <sheets>
    <sheet name="Dateneingabe" sheetId="1" r:id="rId1"/>
    <sheet name="Ergebnisse" sheetId="2" r:id="rId2"/>
    <sheet name="Datenbasis" sheetId="3" r:id="rId3"/>
  </sheets>
  <definedNames>
    <definedName name="BOben">'Datenbasis'!$K$2</definedName>
    <definedName name="BUnten">'Datenbasis'!$K$3</definedName>
    <definedName name="_xlnm.Print_Area" localSheetId="0">'Dateneingabe'!$A$1:$K$33</definedName>
    <definedName name="_xlnm.Print_Area" localSheetId="1">'Ergebnisse'!$A$1:$K$35</definedName>
    <definedName name="GDicke">'Datenbasis'!$R$2</definedName>
    <definedName name="ROben">'Datenbasis'!$M$2</definedName>
    <definedName name="RUnten">'Datenbasis'!$M$3</definedName>
  </definedNames>
  <calcPr fullCalcOnLoad="1"/>
</workbook>
</file>

<file path=xl/comments3.xml><?xml version="1.0" encoding="utf-8"?>
<comments xmlns="http://schemas.openxmlformats.org/spreadsheetml/2006/main">
  <authors>
    <author>goettsche</author>
  </authors>
  <commentList>
    <comment ref="E38" authorId="0">
      <text>
        <r>
          <rPr>
            <b/>
            <sz val="8"/>
            <rFont val="Tahoma"/>
            <family val="2"/>
          </rPr>
          <t>goettsche:</t>
        </r>
        <r>
          <rPr>
            <sz val="8"/>
            <rFont val="Tahoma"/>
            <family val="2"/>
          </rPr>
          <t xml:space="preserve">
Grenze aus rechentechnischen Gründen auf -2,2001 erhöht</t>
        </r>
      </text>
    </comment>
  </commentList>
</comments>
</file>

<file path=xl/sharedStrings.xml><?xml version="1.0" encoding="utf-8"?>
<sst xmlns="http://schemas.openxmlformats.org/spreadsheetml/2006/main" count="322" uniqueCount="233">
  <si>
    <t>[kN]</t>
  </si>
  <si>
    <t>[kNm]</t>
  </si>
  <si>
    <t>[cm²]</t>
  </si>
  <si>
    <t>eps_c2</t>
  </si>
  <si>
    <t>eps_s1</t>
  </si>
  <si>
    <t>x/d</t>
  </si>
  <si>
    <t>alpha_r</t>
  </si>
  <si>
    <t>z/d</t>
  </si>
  <si>
    <t>Dateneingabe</t>
  </si>
  <si>
    <t>weiter</t>
  </si>
  <si>
    <t>Teilsicherheitsbeiwert</t>
  </si>
  <si>
    <t>Beiwert für Bauteileigenschaften</t>
  </si>
  <si>
    <t>Beiwert für Beton</t>
  </si>
  <si>
    <t>[ 1 ]</t>
  </si>
  <si>
    <t>Beiwert für Betonstahl</t>
  </si>
  <si>
    <t>Betonfestigkeitsklasse</t>
  </si>
  <si>
    <t>Parameter der Spannungs-Dehnungslinie des Betons</t>
  </si>
  <si>
    <t>Bemessungswert für die Druckfestigkeit</t>
  </si>
  <si>
    <t>[kN/cm²]</t>
  </si>
  <si>
    <t>[o/oo]</t>
  </si>
  <si>
    <t>Grenzdehnung am Druckrand</t>
  </si>
  <si>
    <t>Fülligkeitsbeiwert für Parabelfunktion</t>
  </si>
  <si>
    <t>Betonstahlgüte</t>
  </si>
  <si>
    <t>Parameter der Spannungs-Dehnungslinie des Betonstahls</t>
  </si>
  <si>
    <t>Bemessungswert für die Streckgrenze</t>
  </si>
  <si>
    <t xml:space="preserve">Bemessungswert für die Zugfestigkeit </t>
  </si>
  <si>
    <t>Betonart</t>
  </si>
  <si>
    <t>Stahllinie</t>
  </si>
  <si>
    <t>Querschnitt</t>
  </si>
  <si>
    <t>in [cm]</t>
  </si>
  <si>
    <t>Lage</t>
  </si>
  <si>
    <t>bo =</t>
  </si>
  <si>
    <t>h =</t>
  </si>
  <si>
    <t>Normalb. = 1</t>
  </si>
  <si>
    <t>Lin. I/II = 1/2</t>
  </si>
  <si>
    <t>bu =</t>
  </si>
  <si>
    <t>Leichtb. = 2</t>
  </si>
  <si>
    <t>d =</t>
  </si>
  <si>
    <t>Kombinationsauswahl</t>
  </si>
  <si>
    <t>Kombination</t>
  </si>
  <si>
    <t>gam_c</t>
  </si>
  <si>
    <t>gam_s</t>
  </si>
  <si>
    <t>Grundkombination</t>
  </si>
  <si>
    <t>Außergewöhnl. Kombination</t>
  </si>
  <si>
    <t>Stahlparameter</t>
  </si>
  <si>
    <t>Stahlgüte</t>
  </si>
  <si>
    <t>f_yk</t>
  </si>
  <si>
    <t>f_tk</t>
  </si>
  <si>
    <t>f_yd</t>
  </si>
  <si>
    <t>f_td</t>
  </si>
  <si>
    <t>eps_yk</t>
  </si>
  <si>
    <t>eps_yd</t>
  </si>
  <si>
    <t>BSt 500 SA</t>
  </si>
  <si>
    <t>eps_c</t>
  </si>
  <si>
    <t>BSt 500 MA</t>
  </si>
  <si>
    <t>Parabel-Rechteck-Diagramm (Normalbeton)</t>
  </si>
  <si>
    <t>Betongüte</t>
  </si>
  <si>
    <t>f_ck</t>
  </si>
  <si>
    <t>eps_c2u</t>
  </si>
  <si>
    <t>n</t>
  </si>
  <si>
    <t>f_cd</t>
  </si>
  <si>
    <t>C 12/15</t>
  </si>
  <si>
    <t>C 16/20</t>
  </si>
  <si>
    <t>C 20/25</t>
  </si>
  <si>
    <t>C 25/30</t>
  </si>
  <si>
    <t>C 30/37</t>
  </si>
  <si>
    <t>C 35/45</t>
  </si>
  <si>
    <t>C 40/50</t>
  </si>
  <si>
    <t>C 45/55</t>
  </si>
  <si>
    <t>C 50/60</t>
  </si>
  <si>
    <t>C 55/67</t>
  </si>
  <si>
    <t>C 60/75</t>
  </si>
  <si>
    <t>C 70/85</t>
  </si>
  <si>
    <t xml:space="preserve"> </t>
  </si>
  <si>
    <t>C 80/95</t>
  </si>
  <si>
    <t>C 90/105</t>
  </si>
  <si>
    <t>C 100/115</t>
  </si>
  <si>
    <t>Parabel-Rechteck-Diagramm (Leichtbeton)</t>
  </si>
  <si>
    <t>rho</t>
  </si>
  <si>
    <t>LC 12/13</t>
  </si>
  <si>
    <t>LC 16/18</t>
  </si>
  <si>
    <t>LC 20/22</t>
  </si>
  <si>
    <t>LC 25/28</t>
  </si>
  <si>
    <t>LC 30/33</t>
  </si>
  <si>
    <t>LC 35/38</t>
  </si>
  <si>
    <t>LC 40/44</t>
  </si>
  <si>
    <t>LC 45/50</t>
  </si>
  <si>
    <t>LC 50/55</t>
  </si>
  <si>
    <t>LC 55/60</t>
  </si>
  <si>
    <t>LC 60/66</t>
  </si>
  <si>
    <t>Betonart (Normal = 1; Leicht = 2)</t>
  </si>
  <si>
    <t xml:space="preserve">Wertepaare für Darstellung der Spannungs-Dehnungsbeziehung </t>
  </si>
  <si>
    <t>Hilfslinien für SD-Linien</t>
  </si>
  <si>
    <t>Param</t>
  </si>
  <si>
    <t>sigm_cd</t>
  </si>
  <si>
    <t>sigm_ck</t>
  </si>
  <si>
    <t>sigm_c</t>
  </si>
  <si>
    <t>SD für sigm_yk</t>
  </si>
  <si>
    <t>eps_s</t>
  </si>
  <si>
    <t>sigm_s</t>
  </si>
  <si>
    <t>SD für sigm_yd</t>
  </si>
  <si>
    <t>Hilfslinien für SD - Stahl</t>
  </si>
  <si>
    <t>Biegebemessung</t>
  </si>
  <si>
    <t>Querschnittsabmessungen</t>
  </si>
  <si>
    <t>d2 =</t>
  </si>
  <si>
    <t>Dehnungsbegrenzung</t>
  </si>
  <si>
    <t>Einwirkungen</t>
  </si>
  <si>
    <t>von rechteckigen Stahlbetonquerschnitten mit und ohne Druckbewehrung</t>
  </si>
  <si>
    <t>lim (x/d)</t>
  </si>
  <si>
    <t>0,250  - bei Anwendung der Plastiziätstheorie bei Platten</t>
  </si>
  <si>
    <t>0,617  - aus wirtschaftlichen Gründen (nur bei stat. best.Systemen)</t>
  </si>
  <si>
    <t>0,350  - für Beton C40/45 und höher</t>
  </si>
  <si>
    <t>0,450  - für Beton C12/15 bis C35/45</t>
  </si>
  <si>
    <t xml:space="preserve">  (falls erf.)</t>
  </si>
  <si>
    <t>lim (x/d) =</t>
  </si>
  <si>
    <t>d1 =</t>
  </si>
  <si>
    <t>d - d2 =</t>
  </si>
  <si>
    <t>obere Bewehrung</t>
  </si>
  <si>
    <t>untere Bewehrung</t>
  </si>
  <si>
    <t>z_s1 =</t>
  </si>
  <si>
    <t>N_Ed =</t>
  </si>
  <si>
    <t>M_Ed =</t>
  </si>
  <si>
    <t>M_Eds =</t>
  </si>
  <si>
    <r>
      <t>D</t>
    </r>
    <r>
      <rPr>
        <sz val="10"/>
        <rFont val="Arial"/>
        <family val="2"/>
      </rPr>
      <t>M_Eds =</t>
    </r>
  </si>
  <si>
    <t>z_s2 =</t>
  </si>
  <si>
    <t>x [cm]</t>
  </si>
  <si>
    <t>F_cd [kN]</t>
  </si>
  <si>
    <t>z [cm]</t>
  </si>
  <si>
    <t>F_s1[kN]</t>
  </si>
  <si>
    <t>A_s1[cm²]</t>
  </si>
  <si>
    <t>lim (x/d) *</t>
  </si>
  <si>
    <t>Dehnungszustand</t>
  </si>
  <si>
    <t>eps_c2 =</t>
  </si>
  <si>
    <t>x_p [cm]</t>
  </si>
  <si>
    <t>x_r [cm]</t>
  </si>
  <si>
    <t>e=x-a [cm]</t>
  </si>
  <si>
    <r>
      <t>s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2"/>
      </rPr>
      <t>[kN/cm²]</t>
    </r>
  </si>
  <si>
    <t>G</t>
  </si>
  <si>
    <t>lim M_Rds =</t>
  </si>
  <si>
    <r>
      <t xml:space="preserve">M_Rds </t>
    </r>
    <r>
      <rPr>
        <sz val="10"/>
        <rFont val="Arial"/>
        <family val="2"/>
      </rPr>
      <t>[kNm]</t>
    </r>
  </si>
  <si>
    <t>A_s1 =</t>
  </si>
  <si>
    <t>A_s2 =</t>
  </si>
  <si>
    <t>x/d =</t>
  </si>
  <si>
    <t>z/d =</t>
  </si>
  <si>
    <t>Kontrolle der Druckzone</t>
  </si>
  <si>
    <r>
      <t>s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</si>
  <si>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s2</t>
    </r>
    <r>
      <rPr>
        <sz val="10"/>
        <rFont val="Arial"/>
        <family val="2"/>
      </rPr>
      <t xml:space="preserve"> =</t>
    </r>
  </si>
  <si>
    <t>F_s2 =</t>
  </si>
  <si>
    <t>F_s1 =</t>
  </si>
  <si>
    <t>Bemessungsergebnisse</t>
  </si>
  <si>
    <t>Multiplikator für Einwirkungen</t>
  </si>
  <si>
    <t>Multiplikator</t>
  </si>
  <si>
    <t>a/x =</t>
  </si>
  <si>
    <t>1,000  - keine Begrenzung</t>
  </si>
  <si>
    <t>eps_s1 =</t>
  </si>
  <si>
    <t>Dehnungsverteilung über Querschnittshöhe</t>
  </si>
  <si>
    <t>Ergebnisse</t>
  </si>
  <si>
    <t>Spannungsresultierende im Querschnitt</t>
  </si>
  <si>
    <t>Daten zu Diagrammen</t>
  </si>
  <si>
    <t>Dehnungsverteilung</t>
  </si>
  <si>
    <t>Spannungsresultierende</t>
  </si>
  <si>
    <t>(oben)</t>
  </si>
  <si>
    <t xml:space="preserve">     (unten)</t>
  </si>
  <si>
    <t>F_cd [kN] =</t>
  </si>
  <si>
    <t>x [cm] =</t>
  </si>
  <si>
    <t>a [cm] =</t>
  </si>
  <si>
    <t>z [cm] =</t>
  </si>
  <si>
    <t>eps_s2 =</t>
  </si>
  <si>
    <t>[0/00]</t>
  </si>
  <si>
    <t>Hebelarm</t>
  </si>
  <si>
    <t>Druckresultierende</t>
  </si>
  <si>
    <t>zurück</t>
  </si>
  <si>
    <t>Stand:</t>
  </si>
  <si>
    <t>Grenzzustand bei x/d = lim(x/d)</t>
  </si>
  <si>
    <t>M_Rds =</t>
  </si>
  <si>
    <t>z =</t>
  </si>
  <si>
    <t>[cm]</t>
  </si>
  <si>
    <t xml:space="preserve">x = </t>
  </si>
  <si>
    <t>Druckbewehrung erforderlich?</t>
  </si>
  <si>
    <t>d - d_2=</t>
  </si>
  <si>
    <t>Zugkraft</t>
  </si>
  <si>
    <t>Druckkraft</t>
  </si>
  <si>
    <t>Dehnung</t>
  </si>
  <si>
    <t>Stauchung</t>
  </si>
  <si>
    <t>sigm_s1 =</t>
  </si>
  <si>
    <t>Zug</t>
  </si>
  <si>
    <t>sigm_s2 =</t>
  </si>
  <si>
    <t>Druck</t>
  </si>
  <si>
    <t>Zugbew.</t>
  </si>
  <si>
    <t>Druckbew.</t>
  </si>
  <si>
    <r>
      <t>D</t>
    </r>
    <r>
      <rPr>
        <sz val="10"/>
        <rFont val="Arial"/>
        <family val="2"/>
      </rPr>
      <t xml:space="preserve"> M_Eds =</t>
    </r>
  </si>
  <si>
    <r>
      <t>D</t>
    </r>
    <r>
      <rPr>
        <sz val="10"/>
        <rFont val="Arial"/>
        <family val="2"/>
      </rPr>
      <t xml:space="preserve"> F_sd1 =</t>
    </r>
  </si>
  <si>
    <r>
      <t>D</t>
    </r>
    <r>
      <rPr>
        <sz val="10"/>
        <rFont val="Arial"/>
        <family val="2"/>
      </rPr>
      <t xml:space="preserve"> F_sd2 =</t>
    </r>
  </si>
  <si>
    <r>
      <t>D</t>
    </r>
    <r>
      <rPr>
        <sz val="10"/>
        <rFont val="Arial"/>
        <family val="2"/>
      </rPr>
      <t xml:space="preserve"> A_s1 =</t>
    </r>
  </si>
  <si>
    <r>
      <t>D</t>
    </r>
    <r>
      <rPr>
        <sz val="10"/>
        <rFont val="Arial"/>
        <family val="2"/>
      </rPr>
      <t xml:space="preserve"> A_s2 =</t>
    </r>
  </si>
  <si>
    <r>
      <t>Betondehnung bei Erreichen von f</t>
    </r>
    <r>
      <rPr>
        <vertAlign val="subscript"/>
        <sz val="12"/>
        <rFont val="Arial"/>
        <family val="2"/>
      </rPr>
      <t>cd</t>
    </r>
  </si>
  <si>
    <t>untere Hauptbewehrung</t>
  </si>
  <si>
    <t>obere Druckbewehrung</t>
  </si>
  <si>
    <t>DIN EN 1992-1-1</t>
  </si>
  <si>
    <r>
      <rPr>
        <i/>
        <sz val="12"/>
        <rFont val="Symbol"/>
        <family val="1"/>
      </rPr>
      <t>g</t>
    </r>
    <r>
      <rPr>
        <i/>
        <vertAlign val="subscript"/>
        <sz val="12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</si>
  <si>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rPr>
        <i/>
        <sz val="12"/>
        <rFont val="Symbol"/>
        <family val="1"/>
      </rPr>
      <t>g</t>
    </r>
    <r>
      <rPr>
        <i/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</si>
  <si>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f</t>
    </r>
    <r>
      <rPr>
        <i/>
        <vertAlign val="subscript"/>
        <sz val="12"/>
        <rFont val="Arial"/>
        <family val="2"/>
      </rPr>
      <t>cd</t>
    </r>
    <r>
      <rPr>
        <sz val="10"/>
        <rFont val="Arial"/>
        <family val="2"/>
      </rPr>
      <t xml:space="preserve"> =</t>
    </r>
  </si>
  <si>
    <r>
      <rPr>
        <i/>
        <sz val="12"/>
        <rFont val="Symbol"/>
        <family val="1"/>
      </rPr>
      <t>e</t>
    </r>
    <r>
      <rPr>
        <i/>
        <vertAlign val="subscript"/>
        <sz val="12"/>
        <rFont val="Arial"/>
        <family val="2"/>
      </rPr>
      <t>cu</t>
    </r>
    <r>
      <rPr>
        <sz val="10"/>
        <rFont val="Arial"/>
        <family val="2"/>
      </rPr>
      <t xml:space="preserve"> =</t>
    </r>
  </si>
  <si>
    <r>
      <rPr>
        <i/>
        <sz val="12"/>
        <rFont val="Symbol"/>
        <family val="1"/>
      </rPr>
      <t>e</t>
    </r>
    <r>
      <rPr>
        <i/>
        <vertAlign val="subscript"/>
        <sz val="12"/>
        <rFont val="Arial"/>
        <family val="2"/>
      </rPr>
      <t>c2u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</si>
  <si>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</si>
  <si>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f</t>
    </r>
    <r>
      <rPr>
        <i/>
        <vertAlign val="subscript"/>
        <sz val="12"/>
        <rFont val="Arial"/>
        <family val="2"/>
      </rPr>
      <t>yd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</si>
  <si>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f</t>
    </r>
    <r>
      <rPr>
        <i/>
        <vertAlign val="subscript"/>
        <sz val="12"/>
        <rFont val="Arial"/>
        <family val="2"/>
      </rPr>
      <t>td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</si>
  <si>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E</t>
    </r>
    <r>
      <rPr>
        <i/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</si>
  <si>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 xml:space="preserve">b </t>
    </r>
    <r>
      <rPr>
        <sz val="10"/>
        <rFont val="Arial"/>
        <family val="2"/>
      </rPr>
      <t>[cm] =</t>
    </r>
  </si>
  <si>
    <r>
      <rPr>
        <i/>
        <sz val="10"/>
        <rFont val="Arial"/>
        <family val="2"/>
      </rPr>
      <t>h</t>
    </r>
    <r>
      <rPr>
        <sz val="10"/>
        <rFont val="Arial"/>
        <family val="2"/>
      </rPr>
      <t xml:space="preserve"> [cm] =</t>
    </r>
  </si>
  <si>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[cm] =</t>
    </r>
  </si>
  <si>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[cm] = </t>
    </r>
  </si>
  <si>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[kN] =</t>
    </r>
  </si>
  <si>
    <r>
      <rPr>
        <i/>
        <sz val="10"/>
        <rFont val="Arial"/>
        <family val="2"/>
      </rPr>
      <t>M</t>
    </r>
    <r>
      <rPr>
        <i/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[kNm] =</t>
    </r>
  </si>
  <si>
    <r>
      <t>lim (</t>
    </r>
    <r>
      <rPr>
        <i/>
        <sz val="10"/>
        <rFont val="Arial"/>
        <family val="2"/>
      </rPr>
      <t>x/d</t>
    </r>
    <r>
      <rPr>
        <sz val="10"/>
        <rFont val="Arial"/>
        <family val="2"/>
      </rPr>
      <t>) =</t>
    </r>
  </si>
  <si>
    <r>
      <t xml:space="preserve">Multiplikator für Einwirkungen 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und </t>
    </r>
    <r>
      <rPr>
        <i/>
        <sz val="10"/>
        <rFont val="Arial"/>
        <family val="2"/>
      </rPr>
      <t>M</t>
    </r>
    <r>
      <rPr>
        <i/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 = </t>
    </r>
  </si>
  <si>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</si>
  <si>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M</t>
    </r>
    <r>
      <rPr>
        <i/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</si>
  <si>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M</t>
    </r>
    <r>
      <rPr>
        <i/>
        <vertAlign val="subscript"/>
        <sz val="10"/>
        <rFont val="Arial"/>
        <family val="2"/>
      </rPr>
      <t>Eds</t>
    </r>
    <r>
      <rPr>
        <sz val="10"/>
        <rFont val="Arial"/>
        <family val="2"/>
      </rPr>
      <t xml:space="preserve"> =</t>
    </r>
  </si>
  <si>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[cm] / </t>
    </r>
    <r>
      <rPr>
        <i/>
        <sz val="9"/>
        <rFont val="Arial"/>
        <family val="2"/>
      </rPr>
      <t xml:space="preserve">h </t>
    </r>
    <r>
      <rPr>
        <sz val="9"/>
        <rFont val="Arial"/>
        <family val="2"/>
      </rPr>
      <t>[cm] =</t>
    </r>
  </si>
  <si>
    <r>
      <rPr>
        <i/>
        <sz val="9"/>
        <rFont val="Arial"/>
        <family val="2"/>
      </rPr>
      <t>d</t>
    </r>
    <r>
      <rPr>
        <i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d</t>
    </r>
    <r>
      <rPr>
        <i/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[cm] =</t>
    </r>
  </si>
  <si>
    <r>
      <rPr>
        <i/>
        <sz val="8"/>
        <rFont val="Arial"/>
        <family val="2"/>
      </rPr>
      <t>E</t>
    </r>
    <r>
      <rPr>
        <i/>
        <vertAlign val="subscript"/>
        <sz val="8"/>
        <rFont val="Arial"/>
        <family val="2"/>
      </rPr>
      <t>d</t>
    </r>
  </si>
  <si>
    <r>
      <t>&lt;=</t>
    </r>
    <r>
      <rPr>
        <sz val="8"/>
        <rFont val="Arial"/>
        <family val="2"/>
      </rPr>
      <t xml:space="preserve">      </t>
    </r>
    <r>
      <rPr>
        <i/>
        <sz val="8"/>
        <rFont val="Arial"/>
        <family val="2"/>
      </rPr>
      <t>R</t>
    </r>
    <r>
      <rPr>
        <i/>
        <vertAlign val="subscript"/>
        <sz val="8"/>
        <rFont val="Arial"/>
        <family val="2"/>
      </rPr>
      <t>d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</si>
  <si>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c2</t>
    </r>
    <r>
      <rPr>
        <sz val="10"/>
        <rFont val="Arial"/>
        <family val="2"/>
      </rPr>
      <t xml:space="preserve"> [o/oo] =</t>
    </r>
  </si>
  <si>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sd2</t>
    </r>
    <r>
      <rPr>
        <sz val="10"/>
        <rFont val="Arial"/>
        <family val="2"/>
      </rPr>
      <t xml:space="preserve"> [kN] =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</si>
  <si>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s2</t>
    </r>
    <r>
      <rPr>
        <sz val="10"/>
        <rFont val="Arial"/>
        <family val="2"/>
      </rPr>
      <t xml:space="preserve"> [o/oo] =</t>
    </r>
  </si>
  <si>
    <r>
      <t>lim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>) =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</si>
  <si>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s1</t>
    </r>
    <r>
      <rPr>
        <sz val="10"/>
        <rFont val="Arial"/>
        <family val="2"/>
      </rPr>
      <t xml:space="preserve"> [o/oo] =</t>
    </r>
  </si>
  <si>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sd1</t>
    </r>
    <r>
      <rPr>
        <sz val="10"/>
        <rFont val="Arial"/>
        <family val="2"/>
      </rPr>
      <t xml:space="preserve"> [kN] =</t>
    </r>
  </si>
  <si>
    <r>
      <rPr>
        <i/>
        <sz val="10"/>
        <rFont val="Arial"/>
        <family val="2"/>
      </rPr>
      <t>z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 xml:space="preserve">d </t>
    </r>
    <r>
      <rPr>
        <sz val="10"/>
        <rFont val="Arial"/>
        <family val="2"/>
      </rPr>
      <t>=</t>
    </r>
  </si>
  <si>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cd</t>
    </r>
    <r>
      <rPr>
        <sz val="9"/>
        <rFont val="Arial"/>
        <family val="2"/>
      </rPr>
      <t xml:space="preserve"> [kN] =</t>
    </r>
  </si>
  <si>
    <r>
      <t xml:space="preserve">erf 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s2</t>
    </r>
    <r>
      <rPr>
        <sz val="10"/>
        <rFont val="Arial"/>
        <family val="2"/>
      </rPr>
      <t xml:space="preserve"> 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 =</t>
    </r>
  </si>
  <si>
    <r>
      <t xml:space="preserve">erf 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s1</t>
    </r>
    <r>
      <rPr>
        <sz val="10"/>
        <rFont val="Arial"/>
        <family val="2"/>
      </rPr>
      <t xml:space="preserve"> 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] =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</si>
</sst>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E+00"/>
    <numFmt numFmtId="180" formatCode="#,##0.00\ &quot;DM&quot;"/>
    <numFmt numFmtId="181" formatCode="d/\ mmm/\ yy"/>
    <numFmt numFmtId="182" formatCode="[$-407]dddd\,\ d\.\ mmmm\ yyyy"/>
    <numFmt numFmtId="183" formatCode="[$-407]d/\ mmmm\ yyyy;@"/>
    <numFmt numFmtId="184" formatCode="#.#00"/>
  </numFmts>
  <fonts count="65">
    <font>
      <sz val="12"/>
      <name val="Arial"/>
      <family val="0"/>
    </font>
    <font>
      <u val="single"/>
      <sz val="12"/>
      <color indexed="36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Monospac821 BT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Monospac821 BT"/>
      <family val="3"/>
    </font>
    <font>
      <sz val="9"/>
      <name val="Arial"/>
      <family val="2"/>
    </font>
    <font>
      <b/>
      <sz val="8"/>
      <color indexed="10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sz val="8"/>
      <color indexed="8"/>
      <name val="Arial"/>
      <family val="2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173" fontId="10" fillId="34" borderId="0" xfId="0" applyNumberFormat="1" applyFont="1" applyFill="1" applyAlignment="1">
      <alignment horizontal="right"/>
    </xf>
    <xf numFmtId="1" fontId="10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12" fillId="34" borderId="13" xfId="0" applyFont="1" applyFill="1" applyBorder="1" applyAlignment="1">
      <alignment/>
    </xf>
    <xf numFmtId="1" fontId="12" fillId="34" borderId="13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right"/>
    </xf>
    <xf numFmtId="2" fontId="2" fillId="33" borderId="14" xfId="0" applyNumberFormat="1" applyFont="1" applyFill="1" applyBorder="1" applyAlignment="1">
      <alignment horizontal="right"/>
    </xf>
    <xf numFmtId="2" fontId="5" fillId="35" borderId="0" xfId="0" applyNumberFormat="1" applyFont="1" applyFill="1" applyAlignment="1">
      <alignment/>
    </xf>
    <xf numFmtId="0" fontId="12" fillId="34" borderId="15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2" fontId="2" fillId="36" borderId="16" xfId="0" applyNumberFormat="1" applyFont="1" applyFill="1" applyBorder="1" applyAlignment="1">
      <alignment horizontal="center"/>
    </xf>
    <xf numFmtId="2" fontId="2" fillId="36" borderId="17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left"/>
    </xf>
    <xf numFmtId="2" fontId="2" fillId="35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2" fontId="5" fillId="0" borderId="16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4" fontId="2" fillId="33" borderId="17" xfId="0" applyNumberFormat="1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175" fontId="2" fillId="0" borderId="17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175" fontId="2" fillId="0" borderId="19" xfId="0" applyNumberFormat="1" applyFont="1" applyFill="1" applyBorder="1" applyAlignment="1">
      <alignment/>
    </xf>
    <xf numFmtId="0" fontId="2" fillId="36" borderId="16" xfId="0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73" fontId="5" fillId="0" borderId="18" xfId="0" applyNumberFormat="1" applyFont="1" applyBorder="1" applyAlignment="1">
      <alignment/>
    </xf>
    <xf numFmtId="2" fontId="12" fillId="0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6" borderId="2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172" fontId="2" fillId="0" borderId="17" xfId="0" applyNumberFormat="1" applyFont="1" applyBorder="1" applyAlignment="1">
      <alignment/>
    </xf>
    <xf numFmtId="173" fontId="2" fillId="33" borderId="17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18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173" fontId="2" fillId="0" borderId="19" xfId="0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73" fontId="2" fillId="33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16" xfId="0" applyFont="1" applyFill="1" applyBorder="1" applyAlignment="1" quotePrefix="1">
      <alignment/>
    </xf>
    <xf numFmtId="172" fontId="2" fillId="33" borderId="11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2" fillId="0" borderId="20" xfId="0" applyFont="1" applyFill="1" applyBorder="1" applyAlignment="1" quotePrefix="1">
      <alignment/>
    </xf>
    <xf numFmtId="172" fontId="2" fillId="0" borderId="19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2" fontId="2" fillId="33" borderId="17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 horizontal="right"/>
    </xf>
    <xf numFmtId="176" fontId="14" fillId="37" borderId="22" xfId="0" applyNumberFormat="1" applyFont="1" applyFill="1" applyBorder="1" applyAlignment="1">
      <alignment/>
    </xf>
    <xf numFmtId="2" fontId="14" fillId="37" borderId="22" xfId="0" applyNumberFormat="1" applyFont="1" applyFill="1" applyBorder="1" applyAlignment="1">
      <alignment/>
    </xf>
    <xf numFmtId="173" fontId="10" fillId="34" borderId="0" xfId="0" applyNumberFormat="1" applyFont="1" applyFill="1" applyAlignment="1">
      <alignment horizontal="left"/>
    </xf>
    <xf numFmtId="0" fontId="2" fillId="0" borderId="18" xfId="0" applyFont="1" applyFill="1" applyBorder="1" applyAlignment="1">
      <alignment horizontal="right"/>
    </xf>
    <xf numFmtId="2" fontId="2" fillId="33" borderId="19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1" fontId="12" fillId="34" borderId="15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173" fontId="2" fillId="0" borderId="1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8" xfId="0" applyNumberFormat="1" applyFont="1" applyFill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2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2" fillId="0" borderId="18" xfId="0" applyNumberFormat="1" applyFont="1" applyBorder="1" applyAlignment="1">
      <alignment/>
    </xf>
    <xf numFmtId="2" fontId="2" fillId="0" borderId="18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18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2" fontId="13" fillId="34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27" xfId="0" applyNumberFormat="1" applyFont="1" applyBorder="1" applyAlignment="1">
      <alignment/>
    </xf>
    <xf numFmtId="0" fontId="15" fillId="34" borderId="0" xfId="0" applyFont="1" applyFill="1" applyAlignment="1">
      <alignment horizontal="right"/>
    </xf>
    <xf numFmtId="0" fontId="2" fillId="36" borderId="25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36" borderId="28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8" xfId="0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29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36" borderId="31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173" fontId="2" fillId="0" borderId="34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73" fontId="2" fillId="0" borderId="30" xfId="0" applyNumberFormat="1" applyFont="1" applyFill="1" applyBorder="1" applyAlignment="1">
      <alignment/>
    </xf>
    <xf numFmtId="2" fontId="2" fillId="0" borderId="0" xfId="0" applyNumberFormat="1" applyFont="1" applyFill="1" applyBorder="1" applyAlignment="1" quotePrefix="1">
      <alignment horizontal="right"/>
    </xf>
    <xf numFmtId="2" fontId="15" fillId="38" borderId="22" xfId="0" applyNumberFormat="1" applyFont="1" applyFill="1" applyBorder="1" applyAlignment="1">
      <alignment horizontal="right"/>
    </xf>
    <xf numFmtId="173" fontId="2" fillId="33" borderId="18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/>
    </xf>
    <xf numFmtId="0" fontId="9" fillId="34" borderId="0" xfId="47" applyFill="1" applyAlignment="1" applyProtection="1">
      <alignment horizontal="right"/>
      <protection/>
    </xf>
    <xf numFmtId="0" fontId="2" fillId="34" borderId="12" xfId="0" applyFont="1" applyFill="1" applyBorder="1" applyAlignment="1">
      <alignment/>
    </xf>
    <xf numFmtId="0" fontId="13" fillId="34" borderId="0" xfId="0" applyFont="1" applyFill="1" applyAlignment="1" quotePrefix="1">
      <alignment horizontal="left"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2" fontId="16" fillId="34" borderId="38" xfId="0" applyNumberFormat="1" applyFont="1" applyFill="1" applyBorder="1" applyAlignment="1">
      <alignment horizontal="left"/>
    </xf>
    <xf numFmtId="2" fontId="2" fillId="35" borderId="0" xfId="0" applyNumberFormat="1" applyFont="1" applyFill="1" applyAlignment="1">
      <alignment/>
    </xf>
    <xf numFmtId="11" fontId="2" fillId="0" borderId="18" xfId="0" applyNumberFormat="1" applyFont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6" borderId="16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2" fillId="36" borderId="20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73" fontId="2" fillId="0" borderId="20" xfId="0" applyNumberFormat="1" applyFont="1" applyBorder="1" applyAlignment="1">
      <alignment/>
    </xf>
    <xf numFmtId="0" fontId="12" fillId="0" borderId="19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173" fontId="15" fillId="33" borderId="22" xfId="0" applyNumberFormat="1" applyFont="1" applyFill="1" applyBorder="1" applyAlignment="1">
      <alignment horizontal="right"/>
    </xf>
    <xf numFmtId="173" fontId="15" fillId="33" borderId="22" xfId="0" applyNumberFormat="1" applyFont="1" applyFill="1" applyBorder="1" applyAlignment="1">
      <alignment/>
    </xf>
    <xf numFmtId="0" fontId="15" fillId="33" borderId="22" xfId="0" applyFont="1" applyFill="1" applyBorder="1" applyAlignment="1">
      <alignment/>
    </xf>
    <xf numFmtId="2" fontId="15" fillId="33" borderId="22" xfId="0" applyNumberFormat="1" applyFont="1" applyFill="1" applyBorder="1" applyAlignment="1">
      <alignment horizontal="right"/>
    </xf>
    <xf numFmtId="2" fontId="15" fillId="33" borderId="22" xfId="0" applyNumberFormat="1" applyFont="1" applyFill="1" applyBorder="1" applyAlignment="1">
      <alignment/>
    </xf>
    <xf numFmtId="2" fontId="5" fillId="36" borderId="22" xfId="0" applyNumberFormat="1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/>
    </xf>
    <xf numFmtId="0" fontId="17" fillId="34" borderId="0" xfId="0" applyFont="1" applyFill="1" applyAlignment="1">
      <alignment horizontal="right"/>
    </xf>
    <xf numFmtId="0" fontId="13" fillId="34" borderId="0" xfId="0" applyFont="1" applyFill="1" applyAlignment="1">
      <alignment/>
    </xf>
    <xf numFmtId="0" fontId="2" fillId="16" borderId="0" xfId="0" applyFont="1" applyFill="1" applyAlignment="1">
      <alignment/>
    </xf>
    <xf numFmtId="0" fontId="8" fillId="16" borderId="0" xfId="0" applyFont="1" applyFill="1" applyAlignment="1">
      <alignment/>
    </xf>
    <xf numFmtId="0" fontId="5" fillId="16" borderId="0" xfId="0" applyFont="1" applyFill="1" applyAlignment="1">
      <alignment/>
    </xf>
    <xf numFmtId="0" fontId="2" fillId="16" borderId="12" xfId="0" applyFont="1" applyFill="1" applyBorder="1" applyAlignment="1">
      <alignment/>
    </xf>
    <xf numFmtId="0" fontId="0" fillId="16" borderId="0" xfId="0" applyFill="1" applyAlignment="1">
      <alignment/>
    </xf>
    <xf numFmtId="0" fontId="15" fillId="16" borderId="0" xfId="0" applyFont="1" applyFill="1" applyAlignment="1">
      <alignment/>
    </xf>
    <xf numFmtId="0" fontId="13" fillId="16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37" xfId="0" applyFont="1" applyFill="1" applyBorder="1" applyAlignment="1">
      <alignment horizontal="right"/>
    </xf>
    <xf numFmtId="0" fontId="24" fillId="34" borderId="0" xfId="0" applyFont="1" applyFill="1" applyBorder="1" applyAlignment="1">
      <alignment horizontal="center"/>
    </xf>
    <xf numFmtId="173" fontId="2" fillId="33" borderId="22" xfId="0" applyNumberFormat="1" applyFont="1" applyFill="1" applyBorder="1" applyAlignment="1">
      <alignment/>
    </xf>
    <xf numFmtId="183" fontId="13" fillId="16" borderId="0" xfId="0" applyNumberFormat="1" applyFont="1" applyFill="1" applyAlignment="1" quotePrefix="1">
      <alignment horizontal="left"/>
    </xf>
    <xf numFmtId="2" fontId="2" fillId="0" borderId="20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">
    <dxf>
      <fill>
        <patternFill>
          <bgColor indexed="14"/>
        </patternFill>
      </fill>
    </dxf>
    <dxf>
      <fill>
        <patternFill>
          <bgColor indexed="46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ont>
        <color indexed="55"/>
      </font>
    </dxf>
    <dxf>
      <font>
        <color rgb="FF969696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9765"/>
          <c:h val="0.94025"/>
        </c:manualLayout>
      </c:layout>
      <c:scatterChart>
        <c:scatterStyle val="lineMarker"/>
        <c:varyColors val="0"/>
        <c:ser>
          <c:idx val="1"/>
          <c:order val="0"/>
          <c:tx>
            <c:v>DV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Datenbasis!$B$110:$B$111</c:f>
              <c:numCache>
                <c:ptCount val="2"/>
                <c:pt idx="0">
                  <c:v>-3.5</c:v>
                </c:pt>
                <c:pt idx="1">
                  <c:v>15.203703703703688</c:v>
                </c:pt>
              </c:numCache>
            </c:numRef>
          </c:xVal>
          <c:yVal>
            <c:numRef>
              <c:f>Datenbasis!$C$110:$C$111</c:f>
              <c:numCache>
                <c:ptCount val="2"/>
                <c:pt idx="0">
                  <c:v>-30</c:v>
                </c:pt>
                <c:pt idx="1">
                  <c:v>24</c:v>
                </c:pt>
              </c:numCache>
            </c:numRef>
          </c:yVal>
          <c:smooth val="0"/>
        </c:ser>
        <c:ser>
          <c:idx val="2"/>
          <c:order val="1"/>
          <c:tx>
            <c:v>eps_s1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Datenbasis!$B$112:$B$113</c:f>
              <c:numCache>
                <c:ptCount val="2"/>
                <c:pt idx="0">
                  <c:v>15.203703703703688</c:v>
                </c:pt>
                <c:pt idx="1">
                  <c:v>0</c:v>
                </c:pt>
              </c:numCache>
            </c:numRef>
          </c:xVal>
          <c:yVal>
            <c:numRef>
              <c:f>Datenbasis!$C$112:$C$113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  <c:smooth val="0"/>
        </c:ser>
        <c:ser>
          <c:idx val="5"/>
          <c:order val="2"/>
          <c:tx>
            <c:v>limDV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Datenbasis!$B$108:$B$109</c:f>
              <c:numCache>
                <c:ptCount val="2"/>
                <c:pt idx="0">
                  <c:v>-3.5</c:v>
                </c:pt>
                <c:pt idx="1">
                  <c:v>4.277777777777778</c:v>
                </c:pt>
              </c:numCache>
            </c:numRef>
          </c:xVal>
          <c:yVal>
            <c:numRef>
              <c:f>Datenbasis!$C$108:$C$109</c:f>
              <c:numCache>
                <c:ptCount val="2"/>
                <c:pt idx="0">
                  <c:v>-30</c:v>
                </c:pt>
                <c:pt idx="1">
                  <c:v>24</c:v>
                </c:pt>
              </c:numCache>
            </c:numRef>
          </c:yVal>
          <c:smooth val="0"/>
        </c:ser>
        <c:ser>
          <c:idx val="0"/>
          <c:order val="3"/>
          <c:tx>
            <c:v>Querschnitt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Datenbasis!$B$120:$B$123</c:f>
              <c:numCache>
                <c:ptCount val="4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</c:numCache>
            </c:numRef>
          </c:xVal>
          <c:yVal>
            <c:numRef>
              <c:f>Datenbasis!$C$120:$C$123</c:f>
              <c:numCache>
                <c:ptCount val="4"/>
                <c:pt idx="0">
                  <c:v>-30</c:v>
                </c:pt>
                <c:pt idx="1">
                  <c:v>-30</c:v>
                </c:pt>
                <c:pt idx="2">
                  <c:v>30</c:v>
                </c:pt>
                <c:pt idx="3">
                  <c:v>30</c:v>
                </c:pt>
              </c:numCache>
            </c:numRef>
          </c:yVal>
          <c:smooth val="0"/>
        </c:ser>
        <c:axId val="25519471"/>
        <c:axId val="28348648"/>
      </c:scatterChart>
      <c:valAx>
        <c:axId val="25519471"/>
        <c:scaling>
          <c:orientation val="minMax"/>
          <c:max val="25"/>
          <c:min val="-5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.#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648"/>
        <c:crosses val="autoZero"/>
        <c:crossBetween val="midCat"/>
        <c:dispUnits/>
        <c:majorUnit val="5"/>
      </c:valAx>
      <c:valAx>
        <c:axId val="28348648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947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675"/>
          <c:w val="0.955"/>
          <c:h val="0.94325"/>
        </c:manualLayout>
      </c:layout>
      <c:scatterChart>
        <c:scatterStyle val="lineMarker"/>
        <c:varyColors val="0"/>
        <c:ser>
          <c:idx val="3"/>
          <c:order val="0"/>
          <c:tx>
            <c:v>Quer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Datenbasis!$E$120:$E$123</c:f>
              <c:numCache>
                <c:ptCount val="4"/>
                <c:pt idx="0">
                  <c:v>-556.253465346535</c:v>
                </c:pt>
                <c:pt idx="1">
                  <c:v>0</c:v>
                </c:pt>
                <c:pt idx="2">
                  <c:v>0</c:v>
                </c:pt>
                <c:pt idx="3">
                  <c:v>-556.253465346535</c:v>
                </c:pt>
              </c:numCache>
            </c:numRef>
          </c:xVal>
          <c:yVal>
            <c:numRef>
              <c:f>Datenbasis!$F$120:$F$123</c:f>
              <c:numCache>
                <c:ptCount val="4"/>
                <c:pt idx="0">
                  <c:v>-30</c:v>
                </c:pt>
                <c:pt idx="1">
                  <c:v>-30</c:v>
                </c:pt>
                <c:pt idx="2">
                  <c:v>30</c:v>
                </c:pt>
                <c:pt idx="3">
                  <c:v>30</c:v>
                </c:pt>
              </c:numCache>
            </c:numRef>
          </c:yVal>
          <c:smooth val="0"/>
        </c:ser>
        <c:ser>
          <c:idx val="0"/>
          <c:order val="1"/>
          <c:tx>
            <c:v>OBew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Datenbasis!$E$109:$E$110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Datenbasis!$F$109:$F$110</c:f>
              <c:numCache>
                <c:ptCount val="2"/>
                <c:pt idx="0">
                  <c:v>-25</c:v>
                </c:pt>
                <c:pt idx="1">
                  <c:v>-25</c:v>
                </c:pt>
              </c:numCache>
            </c:numRef>
          </c:yVal>
          <c:smooth val="0"/>
        </c:ser>
        <c:ser>
          <c:idx val="1"/>
          <c:order val="2"/>
          <c:tx>
            <c:v>UBew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Datenbasis!$E$112:$E$113</c:f>
              <c:numCache>
                <c:ptCount val="2"/>
                <c:pt idx="0">
                  <c:v>0</c:v>
                </c:pt>
                <c:pt idx="1">
                  <c:v>456.253465346535</c:v>
                </c:pt>
              </c:numCache>
            </c:numRef>
          </c:xVal>
          <c:yVal>
            <c:numRef>
              <c:f>Datenbasis!$F$112:$F$113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  <c:smooth val="0"/>
        </c:ser>
        <c:ser>
          <c:idx val="2"/>
          <c:order val="3"/>
          <c:tx>
            <c:v>DRes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Datenbasis!$E$115:$E$116</c:f>
              <c:numCache>
                <c:ptCount val="2"/>
                <c:pt idx="0">
                  <c:v>0</c:v>
                </c:pt>
                <c:pt idx="1">
                  <c:v>-556.253465346535</c:v>
                </c:pt>
              </c:numCache>
            </c:numRef>
          </c:xVal>
          <c:yVal>
            <c:numRef>
              <c:f>Datenbasis!$F$115:$F$116</c:f>
              <c:numCache>
                <c:ptCount val="2"/>
                <c:pt idx="0">
                  <c:v>-25.796680256260913</c:v>
                </c:pt>
                <c:pt idx="1">
                  <c:v>-25.796680256260913</c:v>
                </c:pt>
              </c:numCache>
            </c:numRef>
          </c:yVal>
          <c:smooth val="0"/>
        </c:ser>
        <c:axId val="53811241"/>
        <c:axId val="14539122"/>
      </c:scatterChart>
      <c:valAx>
        <c:axId val="5381124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39122"/>
        <c:crosses val="autoZero"/>
        <c:crossBetween val="midCat"/>
        <c:dispUnits/>
        <c:minorUnit val="100"/>
      </c:valAx>
      <c:valAx>
        <c:axId val="14539122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124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13</xdr:row>
      <xdr:rowOff>0</xdr:rowOff>
    </xdr:from>
    <xdr:to>
      <xdr:col>5</xdr:col>
      <xdr:colOff>114300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71575" y="1771650"/>
        <a:ext cx="2952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13</xdr:row>
      <xdr:rowOff>0</xdr:rowOff>
    </xdr:from>
    <xdr:to>
      <xdr:col>10</xdr:col>
      <xdr:colOff>171450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5514975" y="1771650"/>
        <a:ext cx="30480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AP34"/>
  <sheetViews>
    <sheetView zoomScale="105" zoomScaleNormal="105" zoomScalePageLayoutView="0" workbookViewId="0" topLeftCell="A1">
      <selection activeCell="E18" sqref="E18"/>
    </sheetView>
  </sheetViews>
  <sheetFormatPr defaultColWidth="11.5546875" defaultRowHeight="15"/>
  <cols>
    <col min="1" max="1" width="2.77734375" style="10" customWidth="1"/>
    <col min="2" max="2" width="11.4453125" style="10" customWidth="1"/>
    <col min="3" max="3" width="9.3359375" style="10" customWidth="1"/>
    <col min="4" max="4" width="10.6640625" style="10" customWidth="1"/>
    <col min="5" max="5" width="9.4453125" style="10" customWidth="1"/>
    <col min="6" max="6" width="11.4453125" style="10" customWidth="1"/>
    <col min="7" max="7" width="7.99609375" style="10" customWidth="1"/>
    <col min="8" max="8" width="11.4453125" style="10" customWidth="1"/>
    <col min="9" max="9" width="8.3359375" style="10" customWidth="1"/>
    <col min="10" max="10" width="7.21484375" style="10" customWidth="1"/>
    <col min="11" max="11" width="10.10546875" style="10" customWidth="1"/>
    <col min="12" max="12" width="3.21484375" style="10" customWidth="1"/>
    <col min="13" max="16384" width="11.5546875" style="10" customWidth="1"/>
  </cols>
  <sheetData>
    <row r="1" s="234" customFormat="1" ht="8.25" customHeight="1"/>
    <row r="2" spans="2:4" s="234" customFormat="1" ht="12.75" customHeight="1">
      <c r="B2" s="235" t="s">
        <v>102</v>
      </c>
      <c r="C2" s="236"/>
      <c r="D2" s="236" t="s">
        <v>198</v>
      </c>
    </row>
    <row r="3" spans="2:11" s="234" customFormat="1" ht="12.75" customHeight="1">
      <c r="B3" s="234" t="s">
        <v>107</v>
      </c>
      <c r="I3" s="240" t="s">
        <v>172</v>
      </c>
      <c r="J3" s="246">
        <v>41377</v>
      </c>
      <c r="K3" s="246"/>
    </row>
    <row r="4" spans="1:42" s="234" customFormat="1" ht="5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ht="6.75" customHeight="1"/>
    <row r="6" spans="2:11" ht="12.75" customHeight="1">
      <c r="B6" s="13" t="s">
        <v>8</v>
      </c>
      <c r="K6" s="201" t="s">
        <v>9</v>
      </c>
    </row>
    <row r="7" ht="7.5" customHeight="1"/>
    <row r="8" spans="2:7" ht="12.75" customHeight="1">
      <c r="B8" s="11" t="s">
        <v>10</v>
      </c>
      <c r="G8" s="11" t="s">
        <v>11</v>
      </c>
    </row>
    <row r="9" spans="6:7" ht="12.75" customHeight="1">
      <c r="F9" s="14"/>
      <c r="G9" s="8"/>
    </row>
    <row r="10" spans="6:11" ht="12.75" customHeight="1">
      <c r="F10" s="232" t="s">
        <v>199</v>
      </c>
      <c r="G10" s="8">
        <f>Datenbasis!E8</f>
        <v>1.5</v>
      </c>
      <c r="H10" s="10" t="s">
        <v>12</v>
      </c>
      <c r="K10" s="10" t="s">
        <v>13</v>
      </c>
    </row>
    <row r="11" spans="6:11" ht="12.75" customHeight="1">
      <c r="F11" s="232" t="s">
        <v>200</v>
      </c>
      <c r="G11" s="8">
        <f>Datenbasis!F8</f>
        <v>1.15</v>
      </c>
      <c r="H11" s="10" t="s">
        <v>14</v>
      </c>
      <c r="K11" s="10" t="s">
        <v>13</v>
      </c>
    </row>
    <row r="12" ht="7.5" customHeight="1"/>
    <row r="13" spans="2:7" ht="12.75" customHeight="1">
      <c r="B13" s="11" t="s">
        <v>15</v>
      </c>
      <c r="G13" s="11" t="s">
        <v>16</v>
      </c>
    </row>
    <row r="14" ht="12.75" customHeight="1"/>
    <row r="15" spans="6:11" ht="12.75" customHeight="1">
      <c r="F15" s="241" t="s">
        <v>201</v>
      </c>
      <c r="G15" s="8">
        <f>Datenbasis!G58</f>
        <v>2.2666666666666666</v>
      </c>
      <c r="H15" s="10" t="s">
        <v>17</v>
      </c>
      <c r="K15" s="10" t="s">
        <v>18</v>
      </c>
    </row>
    <row r="16" spans="6:11" ht="12.75" customHeight="1">
      <c r="F16" s="232" t="s">
        <v>202</v>
      </c>
      <c r="G16" s="8">
        <f>Datenbasis!D58</f>
        <v>-2</v>
      </c>
      <c r="H16" s="10" t="s">
        <v>195</v>
      </c>
      <c r="K16" s="10" t="s">
        <v>19</v>
      </c>
    </row>
    <row r="17" spans="6:11" ht="12.75" customHeight="1">
      <c r="F17" s="232" t="s">
        <v>203</v>
      </c>
      <c r="G17" s="8">
        <f>Datenbasis!E58</f>
        <v>-3.5</v>
      </c>
      <c r="H17" s="10" t="s">
        <v>20</v>
      </c>
      <c r="K17" s="10" t="s">
        <v>19</v>
      </c>
    </row>
    <row r="18" spans="6:11" ht="12.75" customHeight="1">
      <c r="F18" s="241" t="s">
        <v>204</v>
      </c>
      <c r="G18" s="8">
        <f>Datenbasis!F58</f>
        <v>2</v>
      </c>
      <c r="H18" s="10" t="s">
        <v>21</v>
      </c>
      <c r="K18" s="10" t="s">
        <v>13</v>
      </c>
    </row>
    <row r="19" spans="6:7" ht="8.25" customHeight="1">
      <c r="F19" s="14"/>
      <c r="G19" s="15"/>
    </row>
    <row r="20" spans="2:7" ht="12.75" customHeight="1">
      <c r="B20" s="11" t="s">
        <v>22</v>
      </c>
      <c r="G20" s="11" t="s">
        <v>23</v>
      </c>
    </row>
    <row r="21" ht="12.75" customHeight="1"/>
    <row r="22" spans="6:11" ht="12.75" customHeight="1">
      <c r="F22" s="241" t="s">
        <v>205</v>
      </c>
      <c r="G22" s="8">
        <f>Datenbasis!E15</f>
        <v>43.47826086956522</v>
      </c>
      <c r="H22" s="10" t="s">
        <v>24</v>
      </c>
      <c r="K22" s="10" t="s">
        <v>18</v>
      </c>
    </row>
    <row r="23" spans="6:11" ht="12.75" customHeight="1">
      <c r="F23" s="241" t="s">
        <v>206</v>
      </c>
      <c r="G23" s="8">
        <f>Datenbasis!F15</f>
        <v>43.47826086956522</v>
      </c>
      <c r="H23" s="10" t="s">
        <v>25</v>
      </c>
      <c r="K23" s="10" t="s">
        <v>18</v>
      </c>
    </row>
    <row r="24" spans="6:8" ht="12.75" customHeight="1">
      <c r="F24" s="241" t="s">
        <v>207</v>
      </c>
      <c r="G24" s="9">
        <f>Datenbasis!G13</f>
        <v>20000</v>
      </c>
      <c r="H24" s="10" t="s">
        <v>18</v>
      </c>
    </row>
    <row r="25" spans="2:7" ht="13.5" customHeight="1">
      <c r="B25" s="11" t="s">
        <v>103</v>
      </c>
      <c r="D25" s="241" t="s">
        <v>208</v>
      </c>
      <c r="E25" s="115">
        <v>30</v>
      </c>
      <c r="F25" s="14"/>
      <c r="G25" s="9"/>
    </row>
    <row r="26" spans="4:5" ht="13.5" customHeight="1">
      <c r="D26" s="241" t="s">
        <v>209</v>
      </c>
      <c r="E26" s="115">
        <v>60</v>
      </c>
    </row>
    <row r="27" spans="3:6" ht="13.5" customHeight="1">
      <c r="C27" s="171" t="s">
        <v>197</v>
      </c>
      <c r="D27" s="241" t="s">
        <v>210</v>
      </c>
      <c r="E27" s="115">
        <v>5</v>
      </c>
      <c r="F27" s="203" t="s">
        <v>113</v>
      </c>
    </row>
    <row r="28" spans="3:10" ht="13.5" customHeight="1">
      <c r="C28" s="171" t="s">
        <v>196</v>
      </c>
      <c r="D28" s="241" t="s">
        <v>211</v>
      </c>
      <c r="E28" s="115">
        <v>6</v>
      </c>
      <c r="G28" s="11" t="s">
        <v>105</v>
      </c>
      <c r="I28" s="242" t="s">
        <v>214</v>
      </c>
      <c r="J28" s="117">
        <f>Datenbasis!H98</f>
        <v>0.45</v>
      </c>
    </row>
    <row r="29" ht="12.75" customHeight="1">
      <c r="E29" s="106"/>
    </row>
    <row r="30" spans="2:5" ht="13.5" customHeight="1">
      <c r="B30" s="11" t="s">
        <v>106</v>
      </c>
      <c r="C30" s="171" t="s">
        <v>151</v>
      </c>
      <c r="D30" s="241" t="s">
        <v>212</v>
      </c>
      <c r="E30" s="116">
        <v>-100</v>
      </c>
    </row>
    <row r="31" spans="3:6" ht="13.5" customHeight="1">
      <c r="C31" s="154">
        <f>IF(B34&gt;100,(B34-100)/100+1,1-(100-B34)/100)</f>
        <v>1</v>
      </c>
      <c r="D31" s="241" t="s">
        <v>213</v>
      </c>
      <c r="E31" s="116">
        <v>250</v>
      </c>
      <c r="F31" s="233">
        <f>IF(E31&lt;0,"  unzulässiger  Wert;  nur positive Werte","")</f>
      </c>
    </row>
    <row r="32" spans="1:42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="234" customFormat="1" ht="12.75" customHeight="1"/>
    <row r="34" s="234" customFormat="1" ht="12.75" customHeight="1" hidden="1">
      <c r="B34" s="239">
        <v>100</v>
      </c>
    </row>
    <row r="35" s="234" customFormat="1" ht="12.75" customHeight="1"/>
    <row r="36" s="234" customFormat="1" ht="12.75" customHeight="1"/>
    <row r="37" s="234" customFormat="1" ht="12.75" customHeight="1"/>
    <row r="38" s="234" customFormat="1" ht="12.75" customHeight="1"/>
    <row r="39" s="234" customFormat="1" ht="12.75" customHeight="1"/>
    <row r="40" s="234" customFormat="1" ht="12.75" customHeight="1"/>
    <row r="41" s="234" customFormat="1" ht="12.75" customHeight="1"/>
    <row r="42" s="234" customFormat="1" ht="12.75" customHeight="1"/>
    <row r="43" s="234" customFormat="1" ht="12.75"/>
    <row r="44" s="234" customFormat="1" ht="12.75"/>
    <row r="45" s="234" customFormat="1" ht="12.75"/>
    <row r="46" s="234" customFormat="1" ht="12.75"/>
    <row r="47" s="234" customFormat="1" ht="12.75"/>
  </sheetData>
  <sheetProtection/>
  <mergeCells count="1">
    <mergeCell ref="J3:K3"/>
  </mergeCells>
  <conditionalFormatting sqref="G23">
    <cfRule type="cellIs" priority="1" dxfId="9" operator="equal" stopIfTrue="1">
      <formula>$G$22</formula>
    </cfRule>
  </conditionalFormatting>
  <conditionalFormatting sqref="E31">
    <cfRule type="cellIs" priority="2" dxfId="0" operator="lessThan" stopIfTrue="1">
      <formula>0</formula>
    </cfRule>
  </conditionalFormatting>
  <hyperlinks>
    <hyperlink ref="K6" location="Ergebnisse!A1" display="weiter"/>
  </hyperlinks>
  <printOptions horizontalCentered="1" verticalCentered="1"/>
  <pageMargins left="0.7874015748031497" right="0.7874015748031497" top="0.984251968503937" bottom="0.71" header="0.5118110236220472" footer="0.38"/>
  <pageSetup fitToHeight="1" fitToWidth="1" horizontalDpi="300" verticalDpi="300" orientation="landscape" paperSize="9" r:id="rId2"/>
  <headerFooter alignWithMargins="0">
    <oddFooter>&amp;L(c) Dr. Jens Göttsche&amp;C&amp;"Arial,Fett"&amp;14Biegebemessung von Rechteckquerschnitten&amp;R&amp;F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AJ34"/>
  <sheetViews>
    <sheetView zoomScale="104" zoomScaleNormal="104" zoomScalePageLayoutView="0" workbookViewId="0" topLeftCell="A1">
      <selection activeCell="K31" sqref="K31"/>
    </sheetView>
  </sheetViews>
  <sheetFormatPr defaultColWidth="11.5546875" defaultRowHeight="15"/>
  <cols>
    <col min="1" max="1" width="3.10546875" style="156" customWidth="1"/>
    <col min="2" max="2" width="8.99609375" style="156" customWidth="1"/>
    <col min="3" max="5" width="11.5546875" style="156" customWidth="1"/>
    <col min="6" max="6" width="5.10546875" style="156" customWidth="1"/>
    <col min="7" max="7" width="10.77734375" style="156" customWidth="1"/>
    <col min="8" max="8" width="11.77734375" style="156" customWidth="1"/>
    <col min="9" max="9" width="11.88671875" style="156" customWidth="1"/>
    <col min="10" max="10" width="11.5546875" style="156" customWidth="1"/>
    <col min="11" max="11" width="10.21484375" style="156" customWidth="1"/>
    <col min="12" max="16384" width="11.5546875" style="156" customWidth="1"/>
  </cols>
  <sheetData>
    <row r="1" s="234" customFormat="1" ht="6.75" customHeight="1"/>
    <row r="2" spans="2:4" s="234" customFormat="1" ht="12.75" customHeight="1">
      <c r="B2" s="235" t="s">
        <v>102</v>
      </c>
      <c r="C2" s="236"/>
      <c r="D2" s="236" t="s">
        <v>198</v>
      </c>
    </row>
    <row r="3" s="234" customFormat="1" ht="12.75" customHeight="1">
      <c r="B3" s="234" t="s">
        <v>107</v>
      </c>
    </row>
    <row r="4" spans="1:36" s="234" customFormat="1" ht="4.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</row>
    <row r="5" s="10" customFormat="1" ht="6.75" customHeight="1"/>
    <row r="6" spans="2:10" s="10" customFormat="1" ht="12.75" customHeight="1">
      <c r="B6" s="13" t="s">
        <v>156</v>
      </c>
      <c r="J6" s="201" t="s">
        <v>9</v>
      </c>
    </row>
    <row r="7" s="106" customFormat="1" ht="6.75" customHeight="1"/>
    <row r="8" spans="3:10" s="106" customFormat="1" ht="15" customHeight="1">
      <c r="C8" s="162"/>
      <c r="D8" s="163"/>
      <c r="E8" s="164"/>
      <c r="G8" s="241" t="s">
        <v>216</v>
      </c>
      <c r="H8" s="229">
        <f>Datenbasis!$K$10</f>
        <v>-100</v>
      </c>
      <c r="I8" s="106" t="s">
        <v>0</v>
      </c>
      <c r="J8" s="201" t="s">
        <v>171</v>
      </c>
    </row>
    <row r="9" spans="3:9" s="106" customFormat="1" ht="15" customHeight="1">
      <c r="C9" s="165"/>
      <c r="D9" s="166"/>
      <c r="E9" s="167"/>
      <c r="G9" s="241" t="s">
        <v>217</v>
      </c>
      <c r="H9" s="229">
        <f>Datenbasis!$K$11</f>
        <v>250</v>
      </c>
      <c r="I9" s="106" t="s">
        <v>1</v>
      </c>
    </row>
    <row r="10" spans="8:9" s="106" customFormat="1" ht="12.75">
      <c r="H10" s="244" t="s">
        <v>221</v>
      </c>
      <c r="I10" s="230" t="s">
        <v>222</v>
      </c>
    </row>
    <row r="11" spans="2:10" s="106" customFormat="1" ht="15.75">
      <c r="B11" s="204"/>
      <c r="C11" s="205"/>
      <c r="D11" s="243" t="s">
        <v>215</v>
      </c>
      <c r="E11" s="206">
        <f>Dateneingabe!C31</f>
        <v>1</v>
      </c>
      <c r="G11" s="241" t="s">
        <v>218</v>
      </c>
      <c r="H11" s="231">
        <f>Datenbasis!$K$12</f>
        <v>274</v>
      </c>
      <c r="I11" s="231">
        <f>Datenbasis!V21+Datenbasis!K14</f>
        <v>276.99575955298513</v>
      </c>
      <c r="J11" s="106" t="s">
        <v>1</v>
      </c>
    </row>
    <row r="12" s="106" customFormat="1" ht="5.25" customHeight="1"/>
    <row r="13" spans="2:7" s="106" customFormat="1" ht="12.75">
      <c r="B13" s="11" t="s">
        <v>155</v>
      </c>
      <c r="G13" s="11" t="s">
        <v>157</v>
      </c>
    </row>
    <row r="14" s="106" customFormat="1" ht="12.75"/>
    <row r="15" s="106" customFormat="1" ht="15.75">
      <c r="B15" s="241" t="s">
        <v>223</v>
      </c>
    </row>
    <row r="16" spans="2:7" s="106" customFormat="1" ht="15.75">
      <c r="B16" s="224">
        <f>Datenbasis!L21</f>
        <v>-3.5</v>
      </c>
      <c r="G16" s="241" t="s">
        <v>224</v>
      </c>
    </row>
    <row r="17" s="106" customFormat="1" ht="12.75">
      <c r="G17" s="227">
        <f>Datenbasis!T12</f>
        <v>0</v>
      </c>
    </row>
    <row r="18" spans="2:7" s="106" customFormat="1" ht="15.75">
      <c r="B18" s="241" t="s">
        <v>225</v>
      </c>
      <c r="G18" s="147"/>
    </row>
    <row r="19" spans="2:7" s="106" customFormat="1" ht="15.75">
      <c r="B19" s="225">
        <f>Datenbasis!T15</f>
        <v>-2.779835390946503</v>
      </c>
      <c r="G19" s="171" t="s">
        <v>230</v>
      </c>
    </row>
    <row r="20" s="106" customFormat="1" ht="12.75">
      <c r="G20" s="228">
        <f>Datenbasis!R18</f>
        <v>-556.253465346535</v>
      </c>
    </row>
    <row r="21" spans="2:7" s="106" customFormat="1" ht="12.75">
      <c r="B21" s="241" t="s">
        <v>226</v>
      </c>
      <c r="G21" s="147"/>
    </row>
    <row r="22" spans="2:7" s="106" customFormat="1" ht="12.75">
      <c r="B22" s="225">
        <f>Datenbasis!R17</f>
        <v>0.45</v>
      </c>
      <c r="G22" s="241" t="s">
        <v>229</v>
      </c>
    </row>
    <row r="23" s="106" customFormat="1" ht="12.75">
      <c r="G23" s="224">
        <f>Datenbasis!P17</f>
        <v>0.9221607454863132</v>
      </c>
    </row>
    <row r="24" spans="2:7" s="106" customFormat="1" ht="12.75">
      <c r="B24" s="241" t="s">
        <v>142</v>
      </c>
      <c r="G24" s="147"/>
    </row>
    <row r="25" spans="2:7" s="106" customFormat="1" ht="12.75">
      <c r="B25" s="245">
        <f>Datenbasis!P16</f>
        <v>0.18712871287128727</v>
      </c>
      <c r="G25" s="147"/>
    </row>
    <row r="26" spans="2:7" s="106" customFormat="1" ht="12.75">
      <c r="B26" s="147"/>
      <c r="G26" s="147"/>
    </row>
    <row r="27" spans="2:7" s="106" customFormat="1" ht="15.75">
      <c r="B27" s="241" t="s">
        <v>227</v>
      </c>
      <c r="G27" s="241" t="s">
        <v>228</v>
      </c>
    </row>
    <row r="28" spans="2:7" s="106" customFormat="1" ht="12.75">
      <c r="B28" s="224">
        <f>Datenbasis!K21</f>
        <v>15.203703703703688</v>
      </c>
      <c r="G28" s="227">
        <f>Datenbasis!T13</f>
        <v>456.253465346535</v>
      </c>
    </row>
    <row r="29" spans="2:7" s="106" customFormat="1" ht="12.75">
      <c r="B29" s="147"/>
      <c r="G29" s="147"/>
    </row>
    <row r="30" s="106" customFormat="1" ht="12.75"/>
    <row r="31" spans="8:10" s="106" customFormat="1" ht="12.75">
      <c r="H31" s="171" t="s">
        <v>161</v>
      </c>
      <c r="J31" s="171" t="s">
        <v>162</v>
      </c>
    </row>
    <row r="32" spans="2:10" s="106" customFormat="1" ht="15.75">
      <c r="B32" s="171" t="s">
        <v>219</v>
      </c>
      <c r="C32" s="226" t="str">
        <f>CONCATENATE(BOben," / ",Datenbasis!K4)</f>
        <v>30 / 60</v>
      </c>
      <c r="D32" s="171" t="s">
        <v>220</v>
      </c>
      <c r="E32" s="226" t="str">
        <f>CONCATENATE(RUnten," / ",Datenbasis!M2)</f>
        <v>6 / 5</v>
      </c>
      <c r="F32" s="147"/>
      <c r="G32" s="106" t="s">
        <v>231</v>
      </c>
      <c r="H32" s="196">
        <f>IF(ISNUMBER(Datenbasis!P9),Datenbasis!P9,IF(Datenbasis!R16&lt;&gt;"Druckstab",Datenbasis!Q9,"-------"))</f>
        <v>0</v>
      </c>
      <c r="I32" s="241" t="s">
        <v>232</v>
      </c>
      <c r="J32" s="196">
        <f>IF(ISNUMBER(Datenbasis!P10),Datenbasis!P10,Datenbasis!Q10)</f>
        <v>10.493829702970304</v>
      </c>
    </row>
    <row r="33" spans="2:8" s="106" customFormat="1" ht="12.75">
      <c r="B33" s="147"/>
      <c r="C33" s="147"/>
      <c r="D33" s="147"/>
      <c r="E33" s="147"/>
      <c r="F33" s="147"/>
      <c r="H33" s="147"/>
    </row>
    <row r="34" spans="1:36" s="106" customFormat="1" ht="4.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</row>
    <row r="35" s="238" customFormat="1" ht="15"/>
    <row r="36" s="238" customFormat="1" ht="15"/>
    <row r="37" s="238" customFormat="1" ht="15"/>
    <row r="38" s="238" customFormat="1" ht="15"/>
    <row r="39" s="238" customFormat="1" ht="15"/>
    <row r="40" s="238" customFormat="1" ht="15"/>
    <row r="41" s="238" customFormat="1" ht="15"/>
    <row r="42" s="238" customFormat="1" ht="15"/>
    <row r="43" s="238" customFormat="1" ht="15"/>
    <row r="44" s="238" customFormat="1" ht="15"/>
    <row r="45" s="238" customFormat="1" ht="15"/>
  </sheetData>
  <sheetProtection/>
  <conditionalFormatting sqref="G17">
    <cfRule type="cellIs" priority="1" dxfId="5" operator="equal" stopIfTrue="1">
      <formula>0</formula>
    </cfRule>
  </conditionalFormatting>
  <conditionalFormatting sqref="H32">
    <cfRule type="cellIs" priority="2" dxfId="5" operator="equal" stopIfTrue="1">
      <formula>0</formula>
    </cfRule>
    <cfRule type="cellIs" priority="3" dxfId="3" operator="equal" stopIfTrue="1">
      <formula>"-------"</formula>
    </cfRule>
  </conditionalFormatting>
  <conditionalFormatting sqref="J32">
    <cfRule type="cellIs" priority="4" dxfId="3" operator="equal" stopIfTrue="1">
      <formula>"--------"</formula>
    </cfRule>
  </conditionalFormatting>
  <hyperlinks>
    <hyperlink ref="J6" location="Datenbasis!A1" display="weiter"/>
    <hyperlink ref="J8" location="Dateneingabe!A1" display="zurück"/>
  </hyperlinks>
  <printOptions horizontalCentered="1" verticalCentered="1"/>
  <pageMargins left="0.37" right="0.46" top="0.984251968503937" bottom="0.7480314960629921" header="0.5118110236220472" footer="0.35433070866141736"/>
  <pageSetup fitToHeight="1" fitToWidth="1" horizontalDpi="300" verticalDpi="300" orientation="landscape" paperSize="9" r:id="rId3"/>
  <headerFooter alignWithMargins="0">
    <oddFooter>&amp;L(c) Dr. Jens Göttsche&amp;C&amp;"Arial,Fett"&amp;14Biegebemessung von Rechteckquerschnitten&amp;R&amp;F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A145"/>
  <sheetViews>
    <sheetView tabSelected="1" zoomScale="91" zoomScaleNormal="91" zoomScalePageLayoutView="0" workbookViewId="0" topLeftCell="A19">
      <selection activeCell="G50" sqref="G50"/>
    </sheetView>
  </sheetViews>
  <sheetFormatPr defaultColWidth="11.5546875" defaultRowHeight="15"/>
  <cols>
    <col min="1" max="1" width="2.88671875" style="61" customWidth="1"/>
    <col min="2" max="2" width="10.4453125" style="61" customWidth="1"/>
    <col min="3" max="3" width="9.5546875" style="61" customWidth="1"/>
    <col min="4" max="4" width="9.99609375" style="61" customWidth="1"/>
    <col min="5" max="5" width="10.10546875" style="61" customWidth="1"/>
    <col min="6" max="7" width="9.6640625" style="61" customWidth="1"/>
    <col min="8" max="8" width="8.77734375" style="61" customWidth="1"/>
    <col min="9" max="9" width="2.77734375" style="61" customWidth="1"/>
    <col min="10" max="10" width="9.77734375" style="61" customWidth="1"/>
    <col min="11" max="11" width="8.99609375" style="61" customWidth="1"/>
    <col min="12" max="12" width="10.21484375" style="61" customWidth="1"/>
    <col min="13" max="13" width="8.5546875" style="61" customWidth="1"/>
    <col min="14" max="14" width="6.88671875" style="61" customWidth="1"/>
    <col min="15" max="15" width="6.6640625" style="61" customWidth="1"/>
    <col min="16" max="16" width="8.4453125" style="61" customWidth="1"/>
    <col min="17" max="17" width="9.21484375" style="61" customWidth="1"/>
    <col min="18" max="18" width="10.10546875" style="61" bestFit="1" customWidth="1"/>
    <col min="19" max="19" width="8.88671875" style="61" customWidth="1"/>
    <col min="20" max="20" width="7.77734375" style="61" customWidth="1"/>
    <col min="21" max="21" width="8.3359375" style="61" customWidth="1"/>
    <col min="22" max="22" width="10.3359375" style="61" customWidth="1"/>
    <col min="23" max="23" width="8.3359375" style="61" customWidth="1"/>
    <col min="24" max="24" width="8.99609375" style="61" bestFit="1" customWidth="1"/>
    <col min="25" max="25" width="3.6640625" style="61" customWidth="1"/>
    <col min="26" max="26" width="2.4453125" style="61" customWidth="1"/>
    <col min="27" max="30" width="7.6640625" style="105" customWidth="1"/>
    <col min="31" max="16384" width="11.5546875" style="61" customWidth="1"/>
  </cols>
  <sheetData>
    <row r="1" spans="1:26" ht="15.75" customHeight="1">
      <c r="A1" s="56"/>
      <c r="B1" s="57" t="s">
        <v>26</v>
      </c>
      <c r="C1" s="57" t="s">
        <v>27</v>
      </c>
      <c r="D1" s="56"/>
      <c r="E1" s="56"/>
      <c r="F1" s="56"/>
      <c r="G1" s="56"/>
      <c r="H1" s="56"/>
      <c r="I1" s="56"/>
      <c r="J1" s="84" t="s">
        <v>28</v>
      </c>
      <c r="K1" s="58" t="s">
        <v>29</v>
      </c>
      <c r="L1" s="104" t="s">
        <v>30</v>
      </c>
      <c r="M1" s="59" t="s">
        <v>29</v>
      </c>
      <c r="N1" s="56"/>
      <c r="O1" s="56"/>
      <c r="P1" s="56"/>
      <c r="Q1" s="60"/>
      <c r="R1" s="60"/>
      <c r="S1" s="60"/>
      <c r="T1" s="56"/>
      <c r="U1" s="56"/>
      <c r="V1" s="56"/>
      <c r="W1" s="56"/>
      <c r="X1" s="56"/>
      <c r="Y1" s="56"/>
      <c r="Z1" s="56"/>
    </row>
    <row r="2" spans="1:26" ht="15.75" customHeight="1">
      <c r="A2" s="56"/>
      <c r="B2" s="16">
        <v>1</v>
      </c>
      <c r="C2" s="17">
        <f>IF(C4,1,2)</f>
        <v>1</v>
      </c>
      <c r="D2" s="56"/>
      <c r="E2" s="56"/>
      <c r="F2" s="56"/>
      <c r="G2" s="56"/>
      <c r="H2" s="56"/>
      <c r="I2" s="56"/>
      <c r="J2" s="97" t="s">
        <v>31</v>
      </c>
      <c r="K2" s="33">
        <f>Dateneingabe!E25</f>
        <v>30</v>
      </c>
      <c r="L2" s="63" t="s">
        <v>104</v>
      </c>
      <c r="M2" s="113">
        <f>Dateneingabe!E27</f>
        <v>5</v>
      </c>
      <c r="N2" s="56"/>
      <c r="O2" s="56"/>
      <c r="P2" s="56"/>
      <c r="Q2" s="60"/>
      <c r="R2" s="60"/>
      <c r="S2" s="60"/>
      <c r="T2" s="56"/>
      <c r="U2" s="56"/>
      <c r="V2" s="56"/>
      <c r="W2" s="56"/>
      <c r="X2" s="56"/>
      <c r="Y2" s="56"/>
      <c r="Z2" s="56"/>
    </row>
    <row r="3" spans="1:26" ht="15.75" customHeight="1">
      <c r="A3" s="56"/>
      <c r="B3" s="66" t="s">
        <v>33</v>
      </c>
      <c r="C3" s="18" t="s">
        <v>34</v>
      </c>
      <c r="D3" s="56"/>
      <c r="E3" s="56"/>
      <c r="F3" s="56"/>
      <c r="G3" s="56"/>
      <c r="H3" s="56"/>
      <c r="I3" s="56"/>
      <c r="J3" s="97" t="s">
        <v>35</v>
      </c>
      <c r="K3" s="33">
        <f>Dateneingabe!E25</f>
        <v>30</v>
      </c>
      <c r="L3" s="63" t="s">
        <v>115</v>
      </c>
      <c r="M3" s="113">
        <f>Dateneingabe!E28</f>
        <v>6</v>
      </c>
      <c r="N3" s="56"/>
      <c r="O3" s="56"/>
      <c r="P3" s="56"/>
      <c r="Q3" s="60"/>
      <c r="R3" s="60"/>
      <c r="S3" s="60"/>
      <c r="T3" s="60"/>
      <c r="U3" s="60"/>
      <c r="V3" s="56"/>
      <c r="W3" s="56"/>
      <c r="X3" s="56"/>
      <c r="Y3" s="56"/>
      <c r="Z3" s="56"/>
    </row>
    <row r="4" spans="1:26" ht="15.75" customHeight="1" thickBot="1">
      <c r="A4" s="56"/>
      <c r="B4" s="67" t="s">
        <v>36</v>
      </c>
      <c r="C4" s="19" t="b">
        <v>1</v>
      </c>
      <c r="D4" s="56"/>
      <c r="E4" s="56"/>
      <c r="F4" s="56"/>
      <c r="G4" s="56"/>
      <c r="H4" s="56"/>
      <c r="I4" s="56"/>
      <c r="J4" s="97" t="s">
        <v>32</v>
      </c>
      <c r="K4" s="112">
        <f>Dateneingabe!E26</f>
        <v>60</v>
      </c>
      <c r="L4" s="63" t="s">
        <v>37</v>
      </c>
      <c r="M4" s="114">
        <f>K4-RUnten</f>
        <v>54</v>
      </c>
      <c r="N4" s="56"/>
      <c r="O4" s="56"/>
      <c r="P4" s="56"/>
      <c r="Q4" s="60"/>
      <c r="R4" s="60"/>
      <c r="S4" s="60"/>
      <c r="T4" s="60"/>
      <c r="U4" s="60"/>
      <c r="V4" s="56"/>
      <c r="W4" s="56"/>
      <c r="X4" s="56"/>
      <c r="Y4" s="56"/>
      <c r="Z4" s="56"/>
    </row>
    <row r="5" spans="1:26" ht="15.75" customHeight="1" thickBot="1">
      <c r="A5" s="56"/>
      <c r="B5" s="56"/>
      <c r="C5" s="20"/>
      <c r="D5" s="20"/>
      <c r="E5" s="20"/>
      <c r="F5" s="20"/>
      <c r="G5" s="20"/>
      <c r="H5" s="20"/>
      <c r="I5" s="20"/>
      <c r="J5" s="62"/>
      <c r="K5" s="5"/>
      <c r="L5" s="63" t="s">
        <v>116</v>
      </c>
      <c r="M5" s="113">
        <f>M4-ROben</f>
        <v>49</v>
      </c>
      <c r="N5" s="56"/>
      <c r="O5" s="60"/>
      <c r="P5" s="60"/>
      <c r="Q5" s="60"/>
      <c r="R5" s="60"/>
      <c r="S5" s="60"/>
      <c r="T5" s="60"/>
      <c r="U5" s="60"/>
      <c r="V5" s="56"/>
      <c r="W5" s="56"/>
      <c r="X5" s="56"/>
      <c r="Y5" s="56"/>
      <c r="Z5" s="56"/>
    </row>
    <row r="6" spans="1:26" ht="15.75" customHeight="1" thickBot="1">
      <c r="A6" s="56"/>
      <c r="B6" s="21">
        <v>1</v>
      </c>
      <c r="C6" s="72" t="s">
        <v>38</v>
      </c>
      <c r="D6" s="22"/>
      <c r="E6" s="72"/>
      <c r="F6" s="23" t="str">
        <f>INDEX(B10:B11,B6)</f>
        <v>Grundkombination</v>
      </c>
      <c r="G6" s="24"/>
      <c r="H6" s="25"/>
      <c r="I6" s="20"/>
      <c r="J6" s="80"/>
      <c r="K6" s="4"/>
      <c r="L6" s="70" t="s">
        <v>119</v>
      </c>
      <c r="M6" s="113">
        <f>K4/2-RUnten</f>
        <v>24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5.75" customHeight="1" thickBot="1">
      <c r="A7" s="56"/>
      <c r="B7" s="29" t="s">
        <v>39</v>
      </c>
      <c r="C7" s="26"/>
      <c r="D7" s="26"/>
      <c r="E7" s="26" t="s">
        <v>40</v>
      </c>
      <c r="F7" s="26" t="s">
        <v>41</v>
      </c>
      <c r="G7" s="26"/>
      <c r="H7" s="30"/>
      <c r="I7" s="20"/>
      <c r="J7" s="99"/>
      <c r="K7" s="92"/>
      <c r="L7" s="118" t="s">
        <v>124</v>
      </c>
      <c r="M7" s="119">
        <f>-K4/2+ROben</f>
        <v>-25</v>
      </c>
      <c r="N7" s="56"/>
      <c r="O7" s="84" t="s">
        <v>149</v>
      </c>
      <c r="P7" s="58"/>
      <c r="Q7" s="146"/>
      <c r="R7" s="146"/>
      <c r="S7" s="58"/>
      <c r="T7" s="58"/>
      <c r="U7" s="59"/>
      <c r="V7" s="56"/>
      <c r="W7" s="56"/>
      <c r="X7" s="56"/>
      <c r="Y7" s="56"/>
      <c r="Z7" s="56"/>
    </row>
    <row r="8" spans="1:26" ht="15.75" customHeight="1" thickBot="1">
      <c r="A8" s="56"/>
      <c r="B8" s="80"/>
      <c r="C8" s="32"/>
      <c r="D8" s="31"/>
      <c r="E8" s="33">
        <f>INDEX(E10:E11,$B$6)</f>
        <v>1.5</v>
      </c>
      <c r="F8" s="33">
        <f>INDEX(F10:F11,$B$6)</f>
        <v>1.15</v>
      </c>
      <c r="G8" s="32"/>
      <c r="H8" s="34"/>
      <c r="I8" s="20"/>
      <c r="J8" s="56"/>
      <c r="K8" s="56"/>
      <c r="L8" s="56"/>
      <c r="M8" s="56"/>
      <c r="N8" s="56"/>
      <c r="O8" s="186"/>
      <c r="P8" s="177"/>
      <c r="Q8" s="178"/>
      <c r="R8" s="181"/>
      <c r="S8" s="176"/>
      <c r="T8" s="183"/>
      <c r="U8" s="187"/>
      <c r="V8" s="56"/>
      <c r="W8" s="56"/>
      <c r="X8" s="56"/>
      <c r="Y8" s="56"/>
      <c r="Z8" s="56"/>
    </row>
    <row r="9" spans="1:26" ht="15.75" customHeight="1">
      <c r="A9" s="56"/>
      <c r="B9" s="29" t="s">
        <v>39</v>
      </c>
      <c r="C9" s="26"/>
      <c r="D9" s="26"/>
      <c r="E9" s="26" t="s">
        <v>40</v>
      </c>
      <c r="F9" s="26" t="s">
        <v>41</v>
      </c>
      <c r="G9" s="26"/>
      <c r="H9" s="30"/>
      <c r="I9" s="20"/>
      <c r="J9" s="84" t="s">
        <v>106</v>
      </c>
      <c r="K9" s="58"/>
      <c r="L9" s="58"/>
      <c r="M9" s="59"/>
      <c r="N9" s="56"/>
      <c r="O9" s="134" t="s">
        <v>141</v>
      </c>
      <c r="P9" s="155">
        <f>V144</f>
        <v>0</v>
      </c>
      <c r="Q9" s="195" t="s">
        <v>2</v>
      </c>
      <c r="R9" s="32"/>
      <c r="S9" s="184" t="s">
        <v>146</v>
      </c>
      <c r="T9" s="33">
        <f>V139</f>
        <v>-43.47826086956522</v>
      </c>
      <c r="U9" s="34" t="s">
        <v>18</v>
      </c>
      <c r="V9" s="56"/>
      <c r="W9" s="56"/>
      <c r="X9" s="56"/>
      <c r="Y9" s="56"/>
      <c r="Z9" s="56"/>
    </row>
    <row r="10" spans="1:26" ht="15.75" customHeight="1">
      <c r="A10" s="56"/>
      <c r="B10" s="249" t="s">
        <v>42</v>
      </c>
      <c r="C10" s="250"/>
      <c r="D10" s="250"/>
      <c r="E10" s="32">
        <v>1.5</v>
      </c>
      <c r="F10" s="32">
        <v>1.15</v>
      </c>
      <c r="G10" s="32"/>
      <c r="H10" s="34"/>
      <c r="I10" s="20"/>
      <c r="J10" s="134" t="s">
        <v>120</v>
      </c>
      <c r="K10" s="33">
        <f>Dateneingabe!E30*Dateneingabe!C31</f>
        <v>-100</v>
      </c>
      <c r="L10" s="4" t="s">
        <v>0</v>
      </c>
      <c r="M10" s="34"/>
      <c r="N10" s="56"/>
      <c r="O10" s="188" t="s">
        <v>140</v>
      </c>
      <c r="P10" s="179">
        <f>V143</f>
        <v>10.493829702970304</v>
      </c>
      <c r="Q10" s="180" t="s">
        <v>2</v>
      </c>
      <c r="R10" s="182"/>
      <c r="S10" s="184" t="s">
        <v>145</v>
      </c>
      <c r="T10" s="33">
        <f>U21</f>
        <v>43.47826086956522</v>
      </c>
      <c r="U10" s="34" t="s">
        <v>18</v>
      </c>
      <c r="V10" s="56"/>
      <c r="W10" s="56"/>
      <c r="X10" s="56"/>
      <c r="Y10" s="56"/>
      <c r="Z10" s="56"/>
    </row>
    <row r="11" spans="1:26" ht="15.75" customHeight="1" thickBot="1">
      <c r="A11" s="56"/>
      <c r="B11" s="247" t="s">
        <v>43</v>
      </c>
      <c r="C11" s="248"/>
      <c r="D11" s="248"/>
      <c r="E11" s="35">
        <v>1.3</v>
      </c>
      <c r="F11" s="35">
        <v>1</v>
      </c>
      <c r="G11" s="35"/>
      <c r="H11" s="36"/>
      <c r="I11" s="20"/>
      <c r="J11" s="134" t="s">
        <v>121</v>
      </c>
      <c r="K11" s="33">
        <f>Dateneingabe!E31*Dateneingabe!C31</f>
        <v>250</v>
      </c>
      <c r="L11" s="4" t="s">
        <v>1</v>
      </c>
      <c r="M11" s="135"/>
      <c r="N11" s="56"/>
      <c r="O11" s="62"/>
      <c r="P11" s="5"/>
      <c r="Q11" s="5"/>
      <c r="R11" s="32"/>
      <c r="S11" s="185"/>
      <c r="T11" s="5"/>
      <c r="U11" s="71"/>
      <c r="V11" s="56"/>
      <c r="W11" s="56"/>
      <c r="X11" s="56"/>
      <c r="Y11" s="56"/>
      <c r="Z11" s="56"/>
    </row>
    <row r="12" spans="1:26" ht="15.75" customHeight="1" thickBot="1">
      <c r="A12" s="56"/>
      <c r="B12" s="37"/>
      <c r="C12" s="37"/>
      <c r="D12" s="37"/>
      <c r="E12" s="38"/>
      <c r="F12" s="38"/>
      <c r="G12" s="38"/>
      <c r="H12" s="38"/>
      <c r="I12" s="20"/>
      <c r="J12" s="134" t="s">
        <v>122</v>
      </c>
      <c r="K12" s="33">
        <f>K11-K10*M6/100</f>
        <v>274</v>
      </c>
      <c r="L12" s="4" t="s">
        <v>1</v>
      </c>
      <c r="M12" s="135"/>
      <c r="N12" s="56"/>
      <c r="O12" s="189" t="s">
        <v>169</v>
      </c>
      <c r="P12" s="172"/>
      <c r="Q12" s="32"/>
      <c r="R12" s="5"/>
      <c r="S12" s="173" t="s">
        <v>147</v>
      </c>
      <c r="T12" s="112">
        <f>V135</f>
        <v>0</v>
      </c>
      <c r="U12" s="34" t="s">
        <v>0</v>
      </c>
      <c r="V12" s="56"/>
      <c r="W12" s="56"/>
      <c r="X12" s="56"/>
      <c r="Y12" s="56"/>
      <c r="Z12" s="56"/>
    </row>
    <row r="13" spans="1:26" ht="15.75" customHeight="1">
      <c r="A13" s="56"/>
      <c r="B13" s="123">
        <v>1</v>
      </c>
      <c r="C13" s="72" t="s">
        <v>44</v>
      </c>
      <c r="D13" s="22"/>
      <c r="E13" s="23" t="str">
        <f>INDEX(B17:B18,B13)</f>
        <v>BSt 500 SA</v>
      </c>
      <c r="F13" s="83" t="str">
        <f>IF(C2=2,"f_td &gt; f_yd","f_yd = f_td")</f>
        <v>f_yd = f_td</v>
      </c>
      <c r="G13" s="39">
        <v>20000</v>
      </c>
      <c r="H13" s="40">
        <v>0.025</v>
      </c>
      <c r="I13" s="20"/>
      <c r="J13" s="134" t="s">
        <v>138</v>
      </c>
      <c r="K13" s="33">
        <f>V124</f>
        <v>587.124697959184</v>
      </c>
      <c r="L13" s="4" t="s">
        <v>1</v>
      </c>
      <c r="M13" s="135"/>
      <c r="N13" s="56"/>
      <c r="O13" s="134" t="s">
        <v>164</v>
      </c>
      <c r="P13" s="169">
        <f>M21</f>
        <v>10.104950495049513</v>
      </c>
      <c r="Q13" s="5"/>
      <c r="R13" s="5"/>
      <c r="S13" s="173" t="s">
        <v>148</v>
      </c>
      <c r="T13" s="112">
        <f>W21+V134</f>
        <v>456.253465346535</v>
      </c>
      <c r="U13" s="34" t="s">
        <v>0</v>
      </c>
      <c r="V13" s="56"/>
      <c r="W13" s="56"/>
      <c r="X13" s="56"/>
      <c r="Y13" s="56"/>
      <c r="Z13" s="56"/>
    </row>
    <row r="14" spans="1:26" ht="15.75" customHeight="1" thickBot="1">
      <c r="A14" s="56"/>
      <c r="B14" s="29" t="s">
        <v>45</v>
      </c>
      <c r="C14" s="26" t="s">
        <v>46</v>
      </c>
      <c r="D14" s="26" t="s">
        <v>47</v>
      </c>
      <c r="E14" s="26" t="s">
        <v>48</v>
      </c>
      <c r="F14" s="26" t="s">
        <v>49</v>
      </c>
      <c r="G14" s="44" t="s">
        <v>50</v>
      </c>
      <c r="H14" s="30" t="s">
        <v>51</v>
      </c>
      <c r="I14" s="20"/>
      <c r="J14" s="136" t="s">
        <v>123</v>
      </c>
      <c r="K14" s="137">
        <f>IF(K12-K13&lt;0,0,K12-K13)</f>
        <v>0</v>
      </c>
      <c r="L14" s="92" t="s">
        <v>1</v>
      </c>
      <c r="M14" s="138"/>
      <c r="N14" s="56"/>
      <c r="O14" s="134" t="s">
        <v>165</v>
      </c>
      <c r="P14" s="169">
        <f>M4-P15</f>
        <v>4.203319743739087</v>
      </c>
      <c r="Q14" s="175" t="s">
        <v>144</v>
      </c>
      <c r="R14" s="175"/>
      <c r="S14" s="185"/>
      <c r="T14" s="5"/>
      <c r="U14" s="71"/>
      <c r="V14" s="56"/>
      <c r="W14" s="56"/>
      <c r="X14" s="56"/>
      <c r="Y14" s="56"/>
      <c r="Z14" s="56"/>
    </row>
    <row r="15" spans="1:26" ht="15.75" customHeight="1" thickBot="1">
      <c r="A15" s="56"/>
      <c r="B15" s="41"/>
      <c r="C15" s="33">
        <f>INDEX(C17:C18,$B$13)</f>
        <v>50</v>
      </c>
      <c r="D15" s="33">
        <f>INDEX(D17:D18,$B$13)</f>
        <v>52.5</v>
      </c>
      <c r="E15" s="33">
        <f>INDEX(E17:E18,$B$13)</f>
        <v>43.47826086956522</v>
      </c>
      <c r="F15" s="33">
        <f>IF(C2=2,INDEX(F17:F18,$B$13),E15)</f>
        <v>43.47826086956522</v>
      </c>
      <c r="G15" s="42">
        <f>INDEX(G17:G18,$B$13)</f>
        <v>0.0025</v>
      </c>
      <c r="H15" s="43">
        <f>INDEX(H17:H18,$B$13)</f>
        <v>0.002173913043478261</v>
      </c>
      <c r="I15" s="20"/>
      <c r="J15" s="56"/>
      <c r="K15" s="56"/>
      <c r="L15" s="56"/>
      <c r="M15" s="56"/>
      <c r="N15" s="56"/>
      <c r="O15" s="134" t="s">
        <v>166</v>
      </c>
      <c r="P15" s="169">
        <f>T21</f>
        <v>49.79668025626091</v>
      </c>
      <c r="Q15" s="4"/>
      <c r="R15" s="4"/>
      <c r="S15" s="174" t="s">
        <v>167</v>
      </c>
      <c r="T15" s="96">
        <f>V137</f>
        <v>-2.779835390946503</v>
      </c>
      <c r="U15" s="71" t="s">
        <v>168</v>
      </c>
      <c r="V15" s="56"/>
      <c r="W15" s="56"/>
      <c r="X15" s="56"/>
      <c r="Y15" s="56"/>
      <c r="Z15" s="56"/>
    </row>
    <row r="16" spans="1:26" ht="15.75" customHeight="1">
      <c r="A16" s="56"/>
      <c r="B16" s="29" t="s">
        <v>45</v>
      </c>
      <c r="C16" s="26" t="s">
        <v>46</v>
      </c>
      <c r="D16" s="26" t="s">
        <v>47</v>
      </c>
      <c r="E16" s="26" t="s">
        <v>48</v>
      </c>
      <c r="F16" s="26" t="s">
        <v>49</v>
      </c>
      <c r="G16" s="44" t="s">
        <v>50</v>
      </c>
      <c r="H16" s="30" t="s">
        <v>51</v>
      </c>
      <c r="I16" s="20"/>
      <c r="J16" s="84" t="s">
        <v>150</v>
      </c>
      <c r="K16" s="58"/>
      <c r="L16" s="58"/>
      <c r="M16" s="153">
        <f>Dateneingabe!C31</f>
        <v>1</v>
      </c>
      <c r="N16" s="56"/>
      <c r="O16" s="134" t="s">
        <v>142</v>
      </c>
      <c r="P16" s="194">
        <f>P13/M4</f>
        <v>0.18712871287128727</v>
      </c>
      <c r="Q16" s="70"/>
      <c r="R16" s="223"/>
      <c r="S16" s="174" t="s">
        <v>154</v>
      </c>
      <c r="T16" s="96">
        <f>K21</f>
        <v>15.203703703703688</v>
      </c>
      <c r="U16" s="71" t="s">
        <v>168</v>
      </c>
      <c r="V16" s="207"/>
      <c r="W16" s="56"/>
      <c r="X16" s="56"/>
      <c r="Y16" s="56"/>
      <c r="Z16" s="56"/>
    </row>
    <row r="17" spans="1:26" ht="15.75" customHeight="1">
      <c r="A17" s="56"/>
      <c r="B17" s="46" t="s">
        <v>52</v>
      </c>
      <c r="C17" s="32">
        <v>50</v>
      </c>
      <c r="D17" s="32">
        <v>52.5</v>
      </c>
      <c r="E17" s="32">
        <f>C17/F8</f>
        <v>43.47826086956522</v>
      </c>
      <c r="F17" s="32">
        <f>D17/F8</f>
        <v>45.652173913043484</v>
      </c>
      <c r="G17" s="88">
        <f>C17/G13</f>
        <v>0.0025</v>
      </c>
      <c r="H17" s="47">
        <f>E17/G13</f>
        <v>0.002173913043478261</v>
      </c>
      <c r="I17" s="20"/>
      <c r="J17" s="148"/>
      <c r="K17" s="60"/>
      <c r="L17" s="60"/>
      <c r="M17" s="149"/>
      <c r="N17" s="56"/>
      <c r="O17" s="134" t="s">
        <v>143</v>
      </c>
      <c r="P17" s="194">
        <f>P15/M4</f>
        <v>0.9221607454863132</v>
      </c>
      <c r="Q17" s="63" t="s">
        <v>114</v>
      </c>
      <c r="R17" s="96">
        <f>Dateneingabe!J28</f>
        <v>0.45</v>
      </c>
      <c r="S17" s="185"/>
      <c r="T17" s="5"/>
      <c r="U17" s="71"/>
      <c r="V17" s="56"/>
      <c r="W17" s="56"/>
      <c r="X17" s="56"/>
      <c r="Y17" s="56"/>
      <c r="Z17" s="56"/>
    </row>
    <row r="18" spans="1:27" ht="15.75" customHeight="1" thickBot="1">
      <c r="A18" s="56"/>
      <c r="B18" s="48" t="s">
        <v>54</v>
      </c>
      <c r="C18" s="35">
        <v>50</v>
      </c>
      <c r="D18" s="35">
        <v>52.5</v>
      </c>
      <c r="E18" s="35">
        <f>C18/F8</f>
        <v>43.47826086956522</v>
      </c>
      <c r="F18" s="35">
        <f>D18/F8</f>
        <v>45.652173913043484</v>
      </c>
      <c r="G18" s="89">
        <f>C18/G13</f>
        <v>0.0025</v>
      </c>
      <c r="H18" s="49">
        <f>E18/G13</f>
        <v>0.002173913043478261</v>
      </c>
      <c r="I18" s="20"/>
      <c r="J18" s="150"/>
      <c r="K18" s="151"/>
      <c r="L18" s="151"/>
      <c r="M18" s="152"/>
      <c r="N18" s="56"/>
      <c r="O18" s="190" t="s">
        <v>152</v>
      </c>
      <c r="P18" s="191">
        <f>P14/P13</f>
        <v>0.4159663865546222</v>
      </c>
      <c r="Q18" s="192" t="s">
        <v>163</v>
      </c>
      <c r="R18" s="137">
        <f>Q21</f>
        <v>-556.253465346535</v>
      </c>
      <c r="S18" s="193" t="s">
        <v>132</v>
      </c>
      <c r="T18" s="197">
        <f>L21</f>
        <v>-3.5</v>
      </c>
      <c r="U18" s="65" t="s">
        <v>168</v>
      </c>
      <c r="V18" s="56"/>
      <c r="W18" s="56"/>
      <c r="X18" s="60"/>
      <c r="Y18" s="60"/>
      <c r="Z18" s="60"/>
      <c r="AA18" s="4"/>
    </row>
    <row r="19" spans="1:27" ht="15.75" customHeight="1" thickBot="1">
      <c r="A19" s="56"/>
      <c r="B19" s="56"/>
      <c r="C19" s="20"/>
      <c r="D19" s="56"/>
      <c r="E19" s="56"/>
      <c r="F19" s="56"/>
      <c r="G19" s="56"/>
      <c r="H19" s="20"/>
      <c r="I19" s="56"/>
      <c r="J19" s="56"/>
      <c r="K19" s="56"/>
      <c r="L19" s="56"/>
      <c r="M19" s="56"/>
      <c r="N19" s="56"/>
      <c r="O19" s="56"/>
      <c r="P19" s="56"/>
      <c r="Q19" s="20"/>
      <c r="R19" s="56"/>
      <c r="S19" s="56"/>
      <c r="T19" s="56"/>
      <c r="U19" s="56"/>
      <c r="V19" s="56"/>
      <c r="W19" s="60"/>
      <c r="X19" s="60"/>
      <c r="Y19" s="60"/>
      <c r="Z19" s="60"/>
      <c r="AA19" s="4"/>
    </row>
    <row r="20" spans="1:27" ht="15.75" customHeight="1">
      <c r="A20" s="56"/>
      <c r="B20" s="21">
        <v>7</v>
      </c>
      <c r="C20" s="72" t="s">
        <v>55</v>
      </c>
      <c r="D20" s="72"/>
      <c r="E20" s="72"/>
      <c r="F20" s="72"/>
      <c r="G20" s="23" t="str">
        <f>INDEX(B24:B38,$B$20)</f>
        <v>C 40/50</v>
      </c>
      <c r="H20" s="40">
        <v>0.85</v>
      </c>
      <c r="I20" s="56"/>
      <c r="J20" s="21">
        <f>Y21</f>
        <v>43</v>
      </c>
      <c r="K20" s="124" t="s">
        <v>131</v>
      </c>
      <c r="L20" s="1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60"/>
      <c r="AA20" s="4"/>
    </row>
    <row r="21" spans="1:27" ht="15.75" customHeight="1">
      <c r="A21" s="56"/>
      <c r="B21" s="50" t="s">
        <v>56</v>
      </c>
      <c r="C21" s="44" t="s">
        <v>57</v>
      </c>
      <c r="D21" s="44" t="s">
        <v>3</v>
      </c>
      <c r="E21" s="44" t="s">
        <v>58</v>
      </c>
      <c r="F21" s="44" t="s">
        <v>59</v>
      </c>
      <c r="G21" s="44" t="s">
        <v>60</v>
      </c>
      <c r="H21" s="74"/>
      <c r="I21" s="56"/>
      <c r="J21" s="128">
        <f>H98/101</f>
        <v>0.004455445544554456</v>
      </c>
      <c r="K21" s="125">
        <f>INDEX(K23:K124,$Y$21)</f>
        <v>15.203703703703688</v>
      </c>
      <c r="L21" s="125">
        <f>INDEX(L23:L124,$Y$21)</f>
        <v>-3.5</v>
      </c>
      <c r="M21" s="7">
        <f>INDEX(M23:M124,$Y$21)</f>
        <v>10.104950495049513</v>
      </c>
      <c r="N21" s="7">
        <f aca="true" t="shared" si="0" ref="N21:S21">INDEX(N23:N124,$Y$21)</f>
        <v>5.7742574257425785</v>
      </c>
      <c r="O21" s="7">
        <f t="shared" si="0"/>
        <v>4.3306930693069345</v>
      </c>
      <c r="P21" s="125">
        <f t="shared" si="0"/>
        <v>0.8095238095238095</v>
      </c>
      <c r="Q21" s="7">
        <f>-INDEX(Q23:Q124,$Y$21)</f>
        <v>-556.253465346535</v>
      </c>
      <c r="R21" s="7">
        <f t="shared" si="0"/>
        <v>5.901630751310431</v>
      </c>
      <c r="S21" s="7">
        <f t="shared" si="0"/>
        <v>0.9221607454863132</v>
      </c>
      <c r="T21" s="7">
        <f>INDEX(T23:T124,$Y$21)</f>
        <v>49.79668025626091</v>
      </c>
      <c r="U21" s="126">
        <f>INDEX(U23:U124,$Y$21)</f>
        <v>43.47826086956522</v>
      </c>
      <c r="V21" s="7">
        <f>INDEX(V23:V124,$Y$21)</f>
        <v>276.99575955298513</v>
      </c>
      <c r="W21" s="7">
        <f>INDEX(W23:W124,$Y$21)</f>
        <v>456.253465346535</v>
      </c>
      <c r="X21" s="7">
        <f>INDEX(X23:X124,$Y$21)</f>
        <v>10.493829702970304</v>
      </c>
      <c r="Y21" s="218">
        <f>103-SUM(Y23:Y124)</f>
        <v>43</v>
      </c>
      <c r="Z21" s="60"/>
      <c r="AA21" s="4"/>
    </row>
    <row r="22" spans="1:27" ht="15.75" customHeight="1">
      <c r="A22" s="56"/>
      <c r="B22" s="62"/>
      <c r="C22" s="68">
        <f>INDEX(C24:C38,$B$20)</f>
        <v>40</v>
      </c>
      <c r="D22" s="33">
        <f>INDEX(D24:D38,$B$20)</f>
        <v>-2</v>
      </c>
      <c r="E22" s="33">
        <f>INDEX(E24:E38,$B$20)</f>
        <v>-3.5</v>
      </c>
      <c r="F22" s="33">
        <f>INDEX(F24:F38,$B$20)</f>
        <v>2</v>
      </c>
      <c r="G22" s="51">
        <f>INDEX(G24:G38,$B$20)</f>
        <v>2.2666666666666666</v>
      </c>
      <c r="H22" s="64"/>
      <c r="I22" s="56"/>
      <c r="J22" s="127" t="s">
        <v>5</v>
      </c>
      <c r="K22" s="120" t="s">
        <v>4</v>
      </c>
      <c r="L22" s="120" t="s">
        <v>3</v>
      </c>
      <c r="M22" s="120" t="s">
        <v>125</v>
      </c>
      <c r="N22" s="120" t="s">
        <v>133</v>
      </c>
      <c r="O22" s="120" t="s">
        <v>134</v>
      </c>
      <c r="P22" s="120" t="s">
        <v>6</v>
      </c>
      <c r="Q22" s="120" t="s">
        <v>126</v>
      </c>
      <c r="R22" s="120" t="s">
        <v>135</v>
      </c>
      <c r="S22" s="120" t="s">
        <v>7</v>
      </c>
      <c r="T22" s="120" t="s">
        <v>127</v>
      </c>
      <c r="U22" s="121" t="s">
        <v>136</v>
      </c>
      <c r="V22" s="209" t="s">
        <v>139</v>
      </c>
      <c r="W22" s="210" t="s">
        <v>128</v>
      </c>
      <c r="X22" s="210" t="s">
        <v>129</v>
      </c>
      <c r="Y22" s="219" t="s">
        <v>137</v>
      </c>
      <c r="Z22" s="60"/>
      <c r="AA22" s="4"/>
    </row>
    <row r="23" spans="1:27" ht="15.75" customHeight="1">
      <c r="A23" s="56"/>
      <c r="B23" s="50" t="s">
        <v>56</v>
      </c>
      <c r="C23" s="44" t="s">
        <v>57</v>
      </c>
      <c r="D23" s="44" t="s">
        <v>3</v>
      </c>
      <c r="E23" s="44" t="s">
        <v>58</v>
      </c>
      <c r="F23" s="44" t="s">
        <v>59</v>
      </c>
      <c r="G23" s="44" t="s">
        <v>60</v>
      </c>
      <c r="H23" s="74"/>
      <c r="I23" s="56"/>
      <c r="J23" s="128">
        <v>0</v>
      </c>
      <c r="K23" s="129">
        <f>IF(J23&lt;=(-$E$58/($H$13*1000-$E$58)),$H$13*1000,ABS(L23)*(1-J23)/J23)</f>
        <v>25</v>
      </c>
      <c r="L23" s="130">
        <f>IF(J23&lt;=(-$E$58/($H$13*1000-$E$58)),-$H$13*1000*J23/(1-J23),$E$58)</f>
        <v>0</v>
      </c>
      <c r="M23" s="6">
        <f>J23*$M$4</f>
        <v>0</v>
      </c>
      <c r="N23" s="6">
        <f>-$D$58/K23*($M$4-M23)</f>
        <v>4.32</v>
      </c>
      <c r="O23" s="6">
        <f aca="true" t="shared" si="1" ref="O23:O86">IF(M23&gt;N23,M23-N23,0)</f>
        <v>0</v>
      </c>
      <c r="P23" s="139">
        <v>0</v>
      </c>
      <c r="Q23" s="6">
        <f>M23*P23*BOben*$G$58</f>
        <v>0</v>
      </c>
      <c r="R23" s="139">
        <v>0</v>
      </c>
      <c r="S23" s="130">
        <f>T23/$M$4</f>
        <v>1</v>
      </c>
      <c r="T23" s="140">
        <f>$M$4-M23+R23</f>
        <v>54</v>
      </c>
      <c r="U23" s="143">
        <f aca="true" t="shared" si="2" ref="U23:U83">IF(K23&lt;$H$15*1000,K23/$H$15/1000*$E$15,$E$15+($F$15-$E$15)/($H$13-$H$15)*(K23/1000-$H$15))</f>
        <v>43.47826086956522</v>
      </c>
      <c r="V23" s="6">
        <f aca="true" t="shared" si="3" ref="V23:V84">Q23*T23/100</f>
        <v>0</v>
      </c>
      <c r="W23" s="6">
        <f>$K$10+Q23</f>
        <v>-100</v>
      </c>
      <c r="X23" s="6">
        <f>W23/U23</f>
        <v>-2.3</v>
      </c>
      <c r="Y23" s="220">
        <f aca="true" t="shared" si="4" ref="Y23:Y86">IF(V23-$K$12&gt;0,1,0)</f>
        <v>0</v>
      </c>
      <c r="Z23" s="60"/>
      <c r="AA23" s="4"/>
    </row>
    <row r="24" spans="1:27" ht="15.75" customHeight="1">
      <c r="A24" s="56"/>
      <c r="B24" s="27" t="s">
        <v>61</v>
      </c>
      <c r="C24" s="5">
        <v>12</v>
      </c>
      <c r="D24" s="75">
        <v>-2</v>
      </c>
      <c r="E24" s="75">
        <v>-3.5</v>
      </c>
      <c r="F24" s="76">
        <v>2</v>
      </c>
      <c r="G24" s="28">
        <f aca="true" t="shared" si="5" ref="G24:G38">C24/10/$E$8*$H$20</f>
        <v>0.6799999999999999</v>
      </c>
      <c r="H24" s="71"/>
      <c r="I24" s="56"/>
      <c r="J24" s="128">
        <f>J23+$J$21</f>
        <v>0.004455445544554456</v>
      </c>
      <c r="K24" s="129">
        <f aca="true" t="shared" si="6" ref="K24:K87">IF(J24&lt;=(-$E$58/($H$13*1000-$E$58)),$H$13*1000,ABS(L24)*(1-J24)/J24)</f>
        <v>25</v>
      </c>
      <c r="L24" s="130">
        <f aca="true" t="shared" si="7" ref="L24:L87">IF(J24&lt;=(-$E$58/($H$13*1000-$E$58)),-$H$13*1000*J24/(1-J24),$E$58)</f>
        <v>-0.11188463451019395</v>
      </c>
      <c r="M24" s="6">
        <f aca="true" t="shared" si="8" ref="M24:M87">J24*$M$4</f>
        <v>0.2405940594059406</v>
      </c>
      <c r="N24" s="6">
        <f aca="true" t="shared" si="9" ref="N24:N87">-$D$58/K24*($M$4-M24)</f>
        <v>4.300752475247525</v>
      </c>
      <c r="O24" s="6">
        <f t="shared" si="1"/>
        <v>0</v>
      </c>
      <c r="P24" s="130">
        <f>IF(O24=0,1-$D$58/($F$58+1)/-L24*((1+L24/-$D$58)^($F$58+1)-1),1+$D$58/($F$58+1)/-L24)</f>
        <v>0.054899136301806095</v>
      </c>
      <c r="Q24" s="6">
        <f aca="true" t="shared" si="10" ref="Q24:Q87">M24*P24*BOben*$G$58</f>
        <v>0.8981716121297465</v>
      </c>
      <c r="R24" s="130">
        <f>IF(O24=0,(0.5*M24^2+N24^2/($F$58+2)*(1-(1-M24/N24)^($F$58+2))+N24^2/($F$58+1)*(-1+(1-M24/N24)^($F$58+1)))/(M24+N24/($F$58+1)*(-1+(1-M24/N24)^($F$58+1))),(N24*(1/($F$58+2)-1/($F$58+1)+0.5*M24^2/N24^2)/(M24/N24-1/($F$58+1))))</f>
        <v>0.16001506345213412</v>
      </c>
      <c r="S24" s="130">
        <f aca="true" t="shared" si="11" ref="S24:S87">T24/$M$4</f>
        <v>0.9985077963712258</v>
      </c>
      <c r="T24" s="140">
        <f>$M$4-M24+R24</f>
        <v>53.91942100404619</v>
      </c>
      <c r="U24" s="143">
        <f t="shared" si="2"/>
        <v>43.47826086956522</v>
      </c>
      <c r="V24" s="6">
        <f t="shared" si="3"/>
        <v>0.48428893288306685</v>
      </c>
      <c r="W24" s="6">
        <f aca="true" t="shared" si="12" ref="W24:W87">$K$10+Q24</f>
        <v>-99.10182838787026</v>
      </c>
      <c r="X24" s="6">
        <f aca="true" t="shared" si="13" ref="X24:X87">W24/U24</f>
        <v>-2.2793420529210158</v>
      </c>
      <c r="Y24" s="220">
        <f t="shared" si="4"/>
        <v>0</v>
      </c>
      <c r="Z24" s="60"/>
      <c r="AA24" s="4"/>
    </row>
    <row r="25" spans="1:27" ht="15.75" customHeight="1">
      <c r="A25" s="56"/>
      <c r="B25" s="52" t="s">
        <v>62</v>
      </c>
      <c r="C25" s="5">
        <v>16</v>
      </c>
      <c r="D25" s="75">
        <v>-2</v>
      </c>
      <c r="E25" s="75">
        <v>-3.5</v>
      </c>
      <c r="F25" s="76">
        <v>2</v>
      </c>
      <c r="G25" s="28">
        <f t="shared" si="5"/>
        <v>0.9066666666666666</v>
      </c>
      <c r="H25" s="71"/>
      <c r="I25" s="56"/>
      <c r="J25" s="128">
        <f aca="true" t="shared" si="14" ref="J25:J88">J24+$J$21</f>
        <v>0.008910891089108912</v>
      </c>
      <c r="K25" s="129">
        <f t="shared" si="6"/>
        <v>25</v>
      </c>
      <c r="L25" s="130">
        <f t="shared" si="7"/>
        <v>-0.2247752247752248</v>
      </c>
      <c r="M25" s="6">
        <f t="shared" si="8"/>
        <v>0.4811881188118812</v>
      </c>
      <c r="N25" s="6">
        <f t="shared" si="9"/>
        <v>4.28150495049505</v>
      </c>
      <c r="O25" s="6">
        <f t="shared" si="1"/>
        <v>0</v>
      </c>
      <c r="P25" s="130">
        <f>IF(O25=0,1-$D$58/($F$58+1)/-L25*((1+L25/-$D$58)^($F$58+1)-1),1+$D$58/($F$58+1)/-L25)</f>
        <v>0.10817728724821629</v>
      </c>
      <c r="Q25" s="6">
        <f t="shared" si="10"/>
        <v>3.539646523741636</v>
      </c>
      <c r="R25" s="130">
        <f aca="true" t="shared" si="15" ref="R25:R34">IF(O25=0,(0.5*M25^2+N25^2/($F$58+2)*(1-(1-M25/N25)^($F$58+2))+N25^2/($F$58+1)*(-1+(1-M25/N25)^($F$58+1)))/(M25+N25/($F$58+1)*(-1+(1-M25/N25)^($F$58+1))),(N25*(1/($F$58+2)-1/($F$58+1)+0.5*M25^2/N25^2)/(M25/N25-1/($F$58+1))))</f>
        <v>0.31923140160408303</v>
      </c>
      <c r="S25" s="130">
        <f t="shared" si="11"/>
        <v>0.997000801533189</v>
      </c>
      <c r="T25" s="140">
        <f>$M$4-M25+R25</f>
        <v>53.838043282792206</v>
      </c>
      <c r="U25" s="143">
        <f t="shared" si="2"/>
        <v>43.47826086956522</v>
      </c>
      <c r="V25" s="6">
        <f t="shared" si="3"/>
        <v>1.9056764275098717</v>
      </c>
      <c r="W25" s="6">
        <f t="shared" si="12"/>
        <v>-96.46035347625836</v>
      </c>
      <c r="X25" s="6">
        <f t="shared" si="13"/>
        <v>-2.2185881299539423</v>
      </c>
      <c r="Y25" s="220">
        <f t="shared" si="4"/>
        <v>0</v>
      </c>
      <c r="Z25" s="60"/>
      <c r="AA25" s="4"/>
    </row>
    <row r="26" spans="1:27" ht="15.75" customHeight="1">
      <c r="A26" s="56"/>
      <c r="B26" s="27" t="s">
        <v>63</v>
      </c>
      <c r="C26" s="5">
        <v>20</v>
      </c>
      <c r="D26" s="75">
        <v>-2</v>
      </c>
      <c r="E26" s="75">
        <v>-3.5</v>
      </c>
      <c r="F26" s="76">
        <v>2</v>
      </c>
      <c r="G26" s="28">
        <f t="shared" si="5"/>
        <v>1.1333333333333333</v>
      </c>
      <c r="H26" s="71"/>
      <c r="I26" s="56"/>
      <c r="J26" s="128">
        <f t="shared" si="14"/>
        <v>0.013366336633663368</v>
      </c>
      <c r="K26" s="129">
        <f t="shared" si="6"/>
        <v>25</v>
      </c>
      <c r="L26" s="130">
        <f t="shared" si="7"/>
        <v>-0.3386853988961365</v>
      </c>
      <c r="M26" s="6">
        <f t="shared" si="8"/>
        <v>0.7217821782178219</v>
      </c>
      <c r="N26" s="6">
        <f t="shared" si="9"/>
        <v>4.2622574257425745</v>
      </c>
      <c r="O26" s="6">
        <f t="shared" si="1"/>
        <v>0</v>
      </c>
      <c r="P26" s="130">
        <f aca="true" t="shared" si="16" ref="P26:P89">IF(O26=0,1-$D$58/($F$58+1)/-L26*((1+L26/-$D$58)^($F$58+1)-1),1+$D$58/($F$58+1)/-L26)</f>
        <v>0.15978371616261555</v>
      </c>
      <c r="Q26" s="6">
        <f t="shared" si="10"/>
        <v>7.842374631300178</v>
      </c>
      <c r="R26" s="130">
        <f t="shared" si="15"/>
        <v>0.4775897630975541</v>
      </c>
      <c r="S26" s="130">
        <f t="shared" si="11"/>
        <v>0.9954779182385136</v>
      </c>
      <c r="T26" s="140">
        <f>$M$4-M26+R26</f>
        <v>53.75580758487973</v>
      </c>
      <c r="U26" s="143">
        <f t="shared" si="2"/>
        <v>43.47826086956522</v>
      </c>
      <c r="V26" s="6">
        <f t="shared" si="3"/>
        <v>4.215731816887145</v>
      </c>
      <c r="W26" s="6">
        <f t="shared" si="12"/>
        <v>-92.15762536869983</v>
      </c>
      <c r="X26" s="6">
        <f t="shared" si="13"/>
        <v>-2.1196253834800958</v>
      </c>
      <c r="Y26" s="220">
        <f t="shared" si="4"/>
        <v>0</v>
      </c>
      <c r="Z26" s="60"/>
      <c r="AA26" s="4"/>
    </row>
    <row r="27" spans="1:27" ht="15.75" customHeight="1">
      <c r="A27" s="56"/>
      <c r="B27" s="27" t="s">
        <v>64</v>
      </c>
      <c r="C27" s="5">
        <v>25</v>
      </c>
      <c r="D27" s="75">
        <v>-2</v>
      </c>
      <c r="E27" s="75">
        <v>-3.5</v>
      </c>
      <c r="F27" s="76">
        <v>2</v>
      </c>
      <c r="G27" s="28">
        <f t="shared" si="5"/>
        <v>1.4166666666666667</v>
      </c>
      <c r="H27" s="71"/>
      <c r="I27" s="56"/>
      <c r="J27" s="128">
        <f t="shared" si="14"/>
        <v>0.017821782178217824</v>
      </c>
      <c r="K27" s="129">
        <f t="shared" si="6"/>
        <v>25</v>
      </c>
      <c r="L27" s="130">
        <f t="shared" si="7"/>
        <v>-0.4536290322580646</v>
      </c>
      <c r="M27" s="6">
        <f t="shared" si="8"/>
        <v>0.9623762376237625</v>
      </c>
      <c r="N27" s="6">
        <f t="shared" si="9"/>
        <v>4.243009900990099</v>
      </c>
      <c r="O27" s="6">
        <f t="shared" si="1"/>
        <v>0</v>
      </c>
      <c r="P27" s="130">
        <f t="shared" si="16"/>
        <v>0.2096662412200836</v>
      </c>
      <c r="Q27" s="6">
        <f t="shared" si="10"/>
        <v>13.720890969982818</v>
      </c>
      <c r="R27" s="130">
        <f t="shared" si="15"/>
        <v>0.6350248874396697</v>
      </c>
      <c r="S27" s="130">
        <f t="shared" si="11"/>
        <v>0.9939379379595538</v>
      </c>
      <c r="T27" s="140">
        <f aca="true" t="shared" si="17" ref="T27:T34">$M$4-M27+R27</f>
        <v>53.672648649815905</v>
      </c>
      <c r="U27" s="143">
        <f t="shared" si="2"/>
        <v>43.47826086956522</v>
      </c>
      <c r="V27" s="6">
        <f t="shared" si="3"/>
        <v>7.364365601943195</v>
      </c>
      <c r="W27" s="6">
        <f t="shared" si="12"/>
        <v>-86.27910903001718</v>
      </c>
      <c r="X27" s="6">
        <f t="shared" si="13"/>
        <v>-1.9844195076903952</v>
      </c>
      <c r="Y27" s="220">
        <f t="shared" si="4"/>
        <v>0</v>
      </c>
      <c r="Z27" s="60"/>
      <c r="AA27" s="4"/>
    </row>
    <row r="28" spans="1:27" ht="15.75" customHeight="1">
      <c r="A28" s="56"/>
      <c r="B28" s="27" t="s">
        <v>65</v>
      </c>
      <c r="C28" s="5">
        <v>30</v>
      </c>
      <c r="D28" s="75">
        <v>-2</v>
      </c>
      <c r="E28" s="75">
        <v>-3.5</v>
      </c>
      <c r="F28" s="76">
        <v>2</v>
      </c>
      <c r="G28" s="28">
        <f t="shared" si="5"/>
        <v>1.7</v>
      </c>
      <c r="H28" s="71"/>
      <c r="I28" s="56"/>
      <c r="J28" s="128">
        <f t="shared" si="14"/>
        <v>0.02227722772277228</v>
      </c>
      <c r="K28" s="129">
        <f t="shared" si="6"/>
        <v>25</v>
      </c>
      <c r="L28" s="130">
        <f t="shared" si="7"/>
        <v>-0.569620253164557</v>
      </c>
      <c r="M28" s="6">
        <f t="shared" si="8"/>
        <v>1.2029702970297032</v>
      </c>
      <c r="N28" s="6">
        <f t="shared" si="9"/>
        <v>4.223762376237624</v>
      </c>
      <c r="O28" s="6">
        <f t="shared" si="1"/>
        <v>0</v>
      </c>
      <c r="P28" s="130">
        <f t="shared" si="16"/>
        <v>0.25777119051434083</v>
      </c>
      <c r="Q28" s="6">
        <f t="shared" si="10"/>
        <v>21.0861938220741</v>
      </c>
      <c r="R28" s="130">
        <f t="shared" si="15"/>
        <v>0.7914647233954165</v>
      </c>
      <c r="S28" s="130">
        <f t="shared" si="11"/>
        <v>0.9923795264141799</v>
      </c>
      <c r="T28" s="140">
        <f t="shared" si="17"/>
        <v>53.58849442636571</v>
      </c>
      <c r="U28" s="143">
        <f t="shared" si="2"/>
        <v>43.47826086956522</v>
      </c>
      <c r="V28" s="6">
        <f t="shared" si="3"/>
        <v>11.299773801074851</v>
      </c>
      <c r="W28" s="6">
        <f t="shared" si="12"/>
        <v>-78.91380617792589</v>
      </c>
      <c r="X28" s="6">
        <f t="shared" si="13"/>
        <v>-1.8150175420922954</v>
      </c>
      <c r="Y28" s="220">
        <f t="shared" si="4"/>
        <v>0</v>
      </c>
      <c r="Z28" s="60"/>
      <c r="AA28" s="4"/>
    </row>
    <row r="29" spans="1:27" ht="15.75" customHeight="1">
      <c r="A29" s="56"/>
      <c r="B29" s="27" t="s">
        <v>66</v>
      </c>
      <c r="C29" s="5">
        <v>35</v>
      </c>
      <c r="D29" s="75">
        <v>-2</v>
      </c>
      <c r="E29" s="75">
        <v>-3.5</v>
      </c>
      <c r="F29" s="76">
        <v>2</v>
      </c>
      <c r="G29" s="28">
        <f t="shared" si="5"/>
        <v>1.9833333333333334</v>
      </c>
      <c r="H29" s="71"/>
      <c r="I29" s="56"/>
      <c r="J29" s="128">
        <f t="shared" si="14"/>
        <v>0.026732673267326736</v>
      </c>
      <c r="K29" s="129">
        <f t="shared" si="6"/>
        <v>25</v>
      </c>
      <c r="L29" s="130">
        <f t="shared" si="7"/>
        <v>-0.6866734486266531</v>
      </c>
      <c r="M29" s="6">
        <f t="shared" si="8"/>
        <v>1.4435643564356437</v>
      </c>
      <c r="N29" s="6">
        <f t="shared" si="9"/>
        <v>4.204514851485149</v>
      </c>
      <c r="O29" s="6">
        <f t="shared" si="1"/>
        <v>0</v>
      </c>
      <c r="P29" s="130">
        <f t="shared" si="16"/>
        <v>0.3040433555592583</v>
      </c>
      <c r="Q29" s="6">
        <f t="shared" si="10"/>
        <v>29.845618260957536</v>
      </c>
      <c r="R29" s="130">
        <f t="shared" si="15"/>
        <v>0.9468295221251022</v>
      </c>
      <c r="S29" s="130">
        <f t="shared" si="11"/>
        <v>0.990801206772027</v>
      </c>
      <c r="T29" s="140">
        <f t="shared" si="17"/>
        <v>53.503265165689456</v>
      </c>
      <c r="U29" s="143">
        <f t="shared" si="2"/>
        <v>43.47826086956522</v>
      </c>
      <c r="V29" s="6">
        <f t="shared" si="3"/>
        <v>15.968380278499545</v>
      </c>
      <c r="W29" s="6">
        <f t="shared" si="12"/>
        <v>-70.15438173904246</v>
      </c>
      <c r="X29" s="6">
        <f t="shared" si="13"/>
        <v>-1.6135507799979767</v>
      </c>
      <c r="Y29" s="220">
        <f t="shared" si="4"/>
        <v>0</v>
      </c>
      <c r="Z29" s="60"/>
      <c r="AA29" s="4"/>
    </row>
    <row r="30" spans="1:27" ht="15.75" customHeight="1">
      <c r="A30" s="56"/>
      <c r="B30" s="27" t="s">
        <v>67</v>
      </c>
      <c r="C30" s="5">
        <v>40</v>
      </c>
      <c r="D30" s="75">
        <v>-2</v>
      </c>
      <c r="E30" s="75">
        <v>-3.5</v>
      </c>
      <c r="F30" s="76">
        <v>2</v>
      </c>
      <c r="G30" s="28">
        <f t="shared" si="5"/>
        <v>2.2666666666666666</v>
      </c>
      <c r="H30" s="71"/>
      <c r="I30" s="56"/>
      <c r="J30" s="128">
        <f t="shared" si="14"/>
        <v>0.03118811881188119</v>
      </c>
      <c r="K30" s="129">
        <f t="shared" si="6"/>
        <v>25</v>
      </c>
      <c r="L30" s="130">
        <f t="shared" si="7"/>
        <v>-0.8048032703117017</v>
      </c>
      <c r="M30" s="6">
        <f t="shared" si="8"/>
        <v>1.6841584158415843</v>
      </c>
      <c r="N30" s="6">
        <f t="shared" si="9"/>
        <v>4.185267326732673</v>
      </c>
      <c r="O30" s="6">
        <f t="shared" si="1"/>
        <v>0</v>
      </c>
      <c r="P30" s="130">
        <f t="shared" si="16"/>
        <v>0.3484259431638168</v>
      </c>
      <c r="Q30" s="6">
        <f t="shared" si="10"/>
        <v>39.90270494442808</v>
      </c>
      <c r="R30" s="130">
        <f t="shared" si="15"/>
        <v>1.1010307810066937</v>
      </c>
      <c r="S30" s="130">
        <f t="shared" si="11"/>
        <v>0.9892013400956501</v>
      </c>
      <c r="T30" s="140">
        <f t="shared" si="17"/>
        <v>53.416872365165105</v>
      </c>
      <c r="U30" s="143">
        <f t="shared" si="2"/>
        <v>43.47826086956522</v>
      </c>
      <c r="V30" s="6">
        <f t="shared" si="3"/>
        <v>21.314776970413572</v>
      </c>
      <c r="W30" s="6">
        <f t="shared" si="12"/>
        <v>-60.09729505557192</v>
      </c>
      <c r="X30" s="6">
        <f t="shared" si="13"/>
        <v>-1.382237786278154</v>
      </c>
      <c r="Y30" s="220">
        <f t="shared" si="4"/>
        <v>0</v>
      </c>
      <c r="Z30" s="60"/>
      <c r="AA30" s="4"/>
    </row>
    <row r="31" spans="1:27" ht="15.75" customHeight="1">
      <c r="A31" s="56"/>
      <c r="B31" s="27" t="s">
        <v>68</v>
      </c>
      <c r="C31" s="5">
        <v>45</v>
      </c>
      <c r="D31" s="75">
        <v>-2</v>
      </c>
      <c r="E31" s="75">
        <v>-3.5</v>
      </c>
      <c r="F31" s="76">
        <v>2</v>
      </c>
      <c r="G31" s="28">
        <f t="shared" si="5"/>
        <v>2.55</v>
      </c>
      <c r="H31" s="71"/>
      <c r="I31" s="56"/>
      <c r="J31" s="128">
        <f t="shared" si="14"/>
        <v>0.03564356435643565</v>
      </c>
      <c r="K31" s="129">
        <f t="shared" si="6"/>
        <v>25</v>
      </c>
      <c r="L31" s="130">
        <f t="shared" si="7"/>
        <v>-0.9240246406570843</v>
      </c>
      <c r="M31" s="6">
        <f t="shared" si="8"/>
        <v>1.924752475247525</v>
      </c>
      <c r="N31" s="6">
        <f t="shared" si="9"/>
        <v>4.166019801980198</v>
      </c>
      <c r="O31" s="6">
        <f t="shared" si="1"/>
        <v>0</v>
      </c>
      <c r="P31" s="130">
        <f t="shared" si="16"/>
        <v>0.39086052561675444</v>
      </c>
      <c r="Q31" s="6">
        <f t="shared" si="10"/>
        <v>51.15706396270297</v>
      </c>
      <c r="R31" s="130">
        <f t="shared" si="15"/>
        <v>1.2539700086513506</v>
      </c>
      <c r="S31" s="130">
        <f t="shared" si="11"/>
        <v>0.9875781024704412</v>
      </c>
      <c r="T31" s="140">
        <f t="shared" si="17"/>
        <v>53.32921753340383</v>
      </c>
      <c r="U31" s="143">
        <f t="shared" si="2"/>
        <v>43.47826086956522</v>
      </c>
      <c r="V31" s="6">
        <f t="shared" si="3"/>
        <v>27.2816619243724</v>
      </c>
      <c r="W31" s="6">
        <f t="shared" si="12"/>
        <v>-48.84293603729703</v>
      </c>
      <c r="X31" s="6">
        <f t="shared" si="13"/>
        <v>-1.1233875288578317</v>
      </c>
      <c r="Y31" s="220">
        <f t="shared" si="4"/>
        <v>0</v>
      </c>
      <c r="Z31" s="60"/>
      <c r="AA31" s="4"/>
    </row>
    <row r="32" spans="1:27" ht="15.75" customHeight="1">
      <c r="A32" s="56"/>
      <c r="B32" s="27" t="s">
        <v>69</v>
      </c>
      <c r="C32" s="5">
        <v>50</v>
      </c>
      <c r="D32" s="75">
        <v>-2</v>
      </c>
      <c r="E32" s="75">
        <v>-3.5</v>
      </c>
      <c r="F32" s="76">
        <v>2</v>
      </c>
      <c r="G32" s="28">
        <f t="shared" si="5"/>
        <v>2.8333333333333335</v>
      </c>
      <c r="H32" s="78"/>
      <c r="I32" s="56"/>
      <c r="J32" s="128">
        <f t="shared" si="14"/>
        <v>0.04009900990099011</v>
      </c>
      <c r="K32" s="129">
        <f t="shared" si="6"/>
        <v>25</v>
      </c>
      <c r="L32" s="130">
        <f t="shared" si="7"/>
        <v>-1.0443527591542034</v>
      </c>
      <c r="M32" s="6">
        <f t="shared" si="8"/>
        <v>2.165346534653466</v>
      </c>
      <c r="N32" s="6">
        <f t="shared" si="9"/>
        <v>4.146772277227723</v>
      </c>
      <c r="O32" s="6">
        <f t="shared" si="1"/>
        <v>0</v>
      </c>
      <c r="P32" s="130">
        <f t="shared" si="16"/>
        <v>0.43128698911435204</v>
      </c>
      <c r="Q32" s="6">
        <f t="shared" si="10"/>
        <v>63.50423353775247</v>
      </c>
      <c r="R32" s="130">
        <f t="shared" si="15"/>
        <v>1.4055372747702501</v>
      </c>
      <c r="S32" s="130">
        <f t="shared" si="11"/>
        <v>0.9859294581503109</v>
      </c>
      <c r="T32" s="140">
        <f t="shared" si="17"/>
        <v>53.24019074011679</v>
      </c>
      <c r="U32" s="143">
        <f t="shared" si="2"/>
        <v>43.47826086956522</v>
      </c>
      <c r="V32" s="6">
        <f t="shared" si="3"/>
        <v>33.809775063548635</v>
      </c>
      <c r="W32" s="6">
        <f t="shared" si="12"/>
        <v>-36.49576646224753</v>
      </c>
      <c r="X32" s="6">
        <f t="shared" si="13"/>
        <v>-0.8394026286316931</v>
      </c>
      <c r="Y32" s="220">
        <f t="shared" si="4"/>
        <v>0</v>
      </c>
      <c r="Z32" s="60"/>
      <c r="AA32" s="4"/>
    </row>
    <row r="33" spans="1:27" ht="15.75" customHeight="1">
      <c r="A33" s="56"/>
      <c r="B33" s="79" t="s">
        <v>70</v>
      </c>
      <c r="C33" s="5">
        <v>55</v>
      </c>
      <c r="D33" s="75">
        <v>-2.2</v>
      </c>
      <c r="E33" s="75">
        <v>-3.1</v>
      </c>
      <c r="F33" s="76">
        <v>1.75</v>
      </c>
      <c r="G33" s="28">
        <f t="shared" si="5"/>
        <v>3.1166666666666663</v>
      </c>
      <c r="H33" s="78"/>
      <c r="I33" s="56"/>
      <c r="J33" s="128">
        <f t="shared" si="14"/>
        <v>0.044554455445544566</v>
      </c>
      <c r="K33" s="129">
        <f t="shared" si="6"/>
        <v>25</v>
      </c>
      <c r="L33" s="130">
        <f t="shared" si="7"/>
        <v>-1.1658031088082905</v>
      </c>
      <c r="M33" s="6">
        <f t="shared" si="8"/>
        <v>2.4059405940594067</v>
      </c>
      <c r="N33" s="6">
        <f t="shared" si="9"/>
        <v>4.127524752475248</v>
      </c>
      <c r="O33" s="6">
        <f t="shared" si="1"/>
        <v>0</v>
      </c>
      <c r="P33" s="130">
        <f t="shared" si="16"/>
        <v>0.4696434803618891</v>
      </c>
      <c r="Q33" s="6">
        <f t="shared" si="10"/>
        <v>76.83553336138472</v>
      </c>
      <c r="R33" s="130">
        <f t="shared" si="15"/>
        <v>1.555609499856738</v>
      </c>
      <c r="S33" s="130">
        <f t="shared" si="11"/>
        <v>0.9842531278851356</v>
      </c>
      <c r="T33" s="140">
        <f t="shared" si="17"/>
        <v>53.14966890579733</v>
      </c>
      <c r="U33" s="143">
        <f t="shared" si="2"/>
        <v>43.47826086956522</v>
      </c>
      <c r="V33" s="6">
        <f t="shared" si="3"/>
        <v>40.83783158357943</v>
      </c>
      <c r="W33" s="6">
        <f t="shared" si="12"/>
        <v>-23.16446663861528</v>
      </c>
      <c r="X33" s="6">
        <f t="shared" si="13"/>
        <v>-0.5327827326881515</v>
      </c>
      <c r="Y33" s="220">
        <f t="shared" si="4"/>
        <v>0</v>
      </c>
      <c r="Z33" s="60"/>
      <c r="AA33" s="4"/>
    </row>
    <row r="34" spans="1:27" ht="15.75" customHeight="1">
      <c r="A34" s="56"/>
      <c r="B34" s="79" t="s">
        <v>71</v>
      </c>
      <c r="C34" s="5">
        <v>60</v>
      </c>
      <c r="D34" s="75">
        <v>-2.3</v>
      </c>
      <c r="E34" s="75">
        <v>-2.9</v>
      </c>
      <c r="F34" s="76">
        <v>1.6</v>
      </c>
      <c r="G34" s="28">
        <f t="shared" si="5"/>
        <v>3.4</v>
      </c>
      <c r="H34" s="78"/>
      <c r="I34" s="56"/>
      <c r="J34" s="128">
        <f t="shared" si="14"/>
        <v>0.049009900990099026</v>
      </c>
      <c r="K34" s="129">
        <f t="shared" si="6"/>
        <v>25</v>
      </c>
      <c r="L34" s="130">
        <f t="shared" si="7"/>
        <v>-1.2883914627798028</v>
      </c>
      <c r="M34" s="6">
        <f t="shared" si="8"/>
        <v>2.6465346534653476</v>
      </c>
      <c r="N34" s="6">
        <f t="shared" si="9"/>
        <v>4.108277227722772</v>
      </c>
      <c r="O34" s="6">
        <f t="shared" si="1"/>
        <v>0</v>
      </c>
      <c r="P34" s="130">
        <f t="shared" si="16"/>
        <v>0.5058663512762448</v>
      </c>
      <c r="Q34" s="6">
        <f t="shared" si="10"/>
        <v>91.03791234987662</v>
      </c>
      <c r="R34" s="130">
        <f t="shared" si="15"/>
        <v>1.7040484285418938</v>
      </c>
      <c r="S34" s="130">
        <f t="shared" si="11"/>
        <v>0.9825465513903064</v>
      </c>
      <c r="T34" s="140">
        <f t="shared" si="17"/>
        <v>53.05751377507655</v>
      </c>
      <c r="U34" s="143">
        <f t="shared" si="2"/>
        <v>43.47826086956522</v>
      </c>
      <c r="V34" s="6">
        <f t="shared" si="3"/>
        <v>48.30245288557791</v>
      </c>
      <c r="W34" s="6">
        <f t="shared" si="12"/>
        <v>-8.96208765012338</v>
      </c>
      <c r="X34" s="6">
        <f t="shared" si="13"/>
        <v>-0.20612801595283772</v>
      </c>
      <c r="Y34" s="220">
        <f t="shared" si="4"/>
        <v>0</v>
      </c>
      <c r="Z34" s="60"/>
      <c r="AA34" s="4"/>
    </row>
    <row r="35" spans="1:27" ht="15.75" customHeight="1">
      <c r="A35" s="56"/>
      <c r="B35" s="79" t="s">
        <v>72</v>
      </c>
      <c r="C35" s="5">
        <v>70</v>
      </c>
      <c r="D35" s="75">
        <v>-2.4</v>
      </c>
      <c r="E35" s="75">
        <v>-2.7</v>
      </c>
      <c r="F35" s="76">
        <v>1.45</v>
      </c>
      <c r="G35" s="28">
        <f t="shared" si="5"/>
        <v>3.966666666666667</v>
      </c>
      <c r="H35" s="78"/>
      <c r="I35" s="56" t="s">
        <v>73</v>
      </c>
      <c r="J35" s="128">
        <f t="shared" si="14"/>
        <v>0.053465346534653485</v>
      </c>
      <c r="K35" s="129">
        <f t="shared" si="6"/>
        <v>25</v>
      </c>
      <c r="L35" s="130">
        <f t="shared" si="7"/>
        <v>-1.4121338912133898</v>
      </c>
      <c r="M35" s="6">
        <f t="shared" si="8"/>
        <v>2.8871287128712884</v>
      </c>
      <c r="N35" s="6">
        <f t="shared" si="9"/>
        <v>4.089029702970297</v>
      </c>
      <c r="O35" s="6">
        <f t="shared" si="1"/>
        <v>0</v>
      </c>
      <c r="P35" s="130">
        <f t="shared" si="16"/>
        <v>0.5398901017139057</v>
      </c>
      <c r="Q35" s="6">
        <f t="shared" si="10"/>
        <v>105.99379058281879</v>
      </c>
      <c r="R35" s="130">
        <f aca="true" t="shared" si="18" ref="R35:R48">IF(O35=0,(0.5*M35^2+N35^2/($F$58+2)*(1-(1-M35/N35)^($F$58+2))+N35^2/($F$58+1)*(-1+(1-M35/N35)^($F$58+1)))/(M35+N35/($F$58+1)*(-1+(1-M35/N35)^($F$58+1))),(N35*(1/($F$58+2)-1/($F$58+1)+0.5*M35^2/N35^2)/(M35/N35-1/($F$58+1))))</f>
        <v>1.850698216196449</v>
      </c>
      <c r="S35" s="130">
        <f t="shared" si="11"/>
        <v>0.9808068426541696</v>
      </c>
      <c r="T35" s="140">
        <f aca="true" t="shared" si="19" ref="T35:T48">$M$4-M35+R35</f>
        <v>52.96356950332516</v>
      </c>
      <c r="U35" s="143">
        <f t="shared" si="2"/>
        <v>43.47826086956522</v>
      </c>
      <c r="V35" s="6">
        <f t="shared" si="3"/>
        <v>56.13809494454015</v>
      </c>
      <c r="W35" s="6">
        <f t="shared" si="12"/>
        <v>5.993790582818789</v>
      </c>
      <c r="X35" s="6">
        <f t="shared" si="13"/>
        <v>0.13785718340483216</v>
      </c>
      <c r="Y35" s="220">
        <f t="shared" si="4"/>
        <v>0</v>
      </c>
      <c r="Z35" s="60"/>
      <c r="AA35" s="4"/>
    </row>
    <row r="36" spans="1:27" ht="15.75" customHeight="1">
      <c r="A36" s="56"/>
      <c r="B36" s="79" t="s">
        <v>74</v>
      </c>
      <c r="C36" s="5">
        <v>80</v>
      </c>
      <c r="D36" s="75">
        <v>-2.5</v>
      </c>
      <c r="E36" s="75">
        <v>-2.6</v>
      </c>
      <c r="F36" s="76">
        <v>1.4</v>
      </c>
      <c r="G36" s="28">
        <f t="shared" si="5"/>
        <v>4.533333333333333</v>
      </c>
      <c r="H36" s="78"/>
      <c r="I36" s="56"/>
      <c r="J36" s="128">
        <f t="shared" si="14"/>
        <v>0.057920792079207944</v>
      </c>
      <c r="K36" s="129">
        <f t="shared" si="6"/>
        <v>25</v>
      </c>
      <c r="L36" s="130">
        <f t="shared" si="7"/>
        <v>-1.537046768260642</v>
      </c>
      <c r="M36" s="6">
        <f t="shared" si="8"/>
        <v>3.127722772277229</v>
      </c>
      <c r="N36" s="6">
        <f t="shared" si="9"/>
        <v>4.069782178217822</v>
      </c>
      <c r="O36" s="6">
        <f t="shared" si="1"/>
        <v>0</v>
      </c>
      <c r="P36" s="130">
        <f t="shared" si="16"/>
        <v>0.5716473201452807</v>
      </c>
      <c r="Q36" s="6">
        <f t="shared" si="10"/>
        <v>121.58089518321596</v>
      </c>
      <c r="R36" s="130">
        <f t="shared" si="18"/>
        <v>1.9953825398435296</v>
      </c>
      <c r="S36" s="130">
        <f t="shared" si="11"/>
        <v>0.979030736436413</v>
      </c>
      <c r="T36" s="140">
        <f t="shared" si="19"/>
        <v>52.8676597675663</v>
      </c>
      <c r="U36" s="143">
        <f t="shared" si="2"/>
        <v>43.47826086956522</v>
      </c>
      <c r="V36" s="6">
        <f t="shared" si="3"/>
        <v>64.27697400782402</v>
      </c>
      <c r="W36" s="6">
        <f t="shared" si="12"/>
        <v>21.580895183215958</v>
      </c>
      <c r="X36" s="6">
        <f t="shared" si="13"/>
        <v>0.49636058921396703</v>
      </c>
      <c r="Y36" s="220">
        <f t="shared" si="4"/>
        <v>0</v>
      </c>
      <c r="Z36" s="60"/>
      <c r="AA36" s="4"/>
    </row>
    <row r="37" spans="1:27" ht="15.75" customHeight="1">
      <c r="A37" s="56"/>
      <c r="B37" s="79" t="s">
        <v>75</v>
      </c>
      <c r="C37" s="5">
        <v>90</v>
      </c>
      <c r="D37" s="75">
        <v>-2.6</v>
      </c>
      <c r="E37" s="75">
        <v>-2.6</v>
      </c>
      <c r="F37" s="76">
        <v>1.4</v>
      </c>
      <c r="G37" s="28">
        <f t="shared" si="5"/>
        <v>5.1</v>
      </c>
      <c r="H37" s="78"/>
      <c r="I37" s="56"/>
      <c r="J37" s="128">
        <f t="shared" si="14"/>
        <v>0.062376237623762404</v>
      </c>
      <c r="K37" s="129">
        <f t="shared" si="6"/>
        <v>25</v>
      </c>
      <c r="L37" s="130">
        <f t="shared" si="7"/>
        <v>-1.6631467793030632</v>
      </c>
      <c r="M37" s="6">
        <f t="shared" si="8"/>
        <v>3.36831683168317</v>
      </c>
      <c r="N37" s="6">
        <f t="shared" si="9"/>
        <v>4.050534653465347</v>
      </c>
      <c r="O37" s="6">
        <f t="shared" si="1"/>
        <v>0</v>
      </c>
      <c r="P37" s="130">
        <f t="shared" si="16"/>
        <v>0.6010686221926855</v>
      </c>
      <c r="Q37" s="6">
        <f t="shared" si="10"/>
        <v>137.67208988471998</v>
      </c>
      <c r="R37" s="130">
        <f t="shared" si="18"/>
        <v>2.137901120280035</v>
      </c>
      <c r="S37" s="130">
        <f t="shared" si="11"/>
        <v>0.977214523862905</v>
      </c>
      <c r="T37" s="140">
        <f t="shared" si="19"/>
        <v>52.76958428859687</v>
      </c>
      <c r="U37" s="143">
        <f t="shared" si="2"/>
        <v>43.47826086956522</v>
      </c>
      <c r="V37" s="6">
        <f t="shared" si="3"/>
        <v>72.64898951359015</v>
      </c>
      <c r="W37" s="6">
        <f t="shared" si="12"/>
        <v>37.67208988471998</v>
      </c>
      <c r="X37" s="6">
        <f t="shared" si="13"/>
        <v>0.8664580673485596</v>
      </c>
      <c r="Y37" s="220">
        <f t="shared" si="4"/>
        <v>0</v>
      </c>
      <c r="Z37" s="60"/>
      <c r="AA37" s="4"/>
    </row>
    <row r="38" spans="1:27" ht="15.75" customHeight="1" thickBot="1">
      <c r="A38" s="56"/>
      <c r="B38" s="91" t="s">
        <v>76</v>
      </c>
      <c r="C38" s="81">
        <v>100</v>
      </c>
      <c r="D38" s="94">
        <v>-2.6</v>
      </c>
      <c r="E38" s="94">
        <v>-2.6</v>
      </c>
      <c r="F38" s="95">
        <v>1.4</v>
      </c>
      <c r="G38" s="53">
        <f t="shared" si="5"/>
        <v>5.666666666666667</v>
      </c>
      <c r="H38" s="93"/>
      <c r="I38" s="56"/>
      <c r="J38" s="128">
        <f t="shared" si="14"/>
        <v>0.06683168316831686</v>
      </c>
      <c r="K38" s="129">
        <f t="shared" si="6"/>
        <v>25</v>
      </c>
      <c r="L38" s="130">
        <f t="shared" si="7"/>
        <v>-1.7904509283819638</v>
      </c>
      <c r="M38" s="6">
        <f t="shared" si="8"/>
        <v>3.608910891089111</v>
      </c>
      <c r="N38" s="6">
        <f t="shared" si="9"/>
        <v>4.031287128712871</v>
      </c>
      <c r="O38" s="6">
        <f t="shared" si="1"/>
        <v>0</v>
      </c>
      <c r="P38" s="130">
        <f t="shared" si="16"/>
        <v>0.6280825869456623</v>
      </c>
      <c r="Q38" s="6">
        <f t="shared" si="10"/>
        <v>154.13519802015043</v>
      </c>
      <c r="R38" s="130">
        <f t="shared" si="18"/>
        <v>2.2780255104905587</v>
      </c>
      <c r="S38" s="130">
        <f t="shared" si="11"/>
        <v>0.9753539744333601</v>
      </c>
      <c r="T38" s="140">
        <f t="shared" si="19"/>
        <v>52.66911461940145</v>
      </c>
      <c r="U38" s="143">
        <f t="shared" si="2"/>
        <v>43.47826086956522</v>
      </c>
      <c r="V38" s="6">
        <f t="shared" si="3"/>
        <v>81.18164411407442</v>
      </c>
      <c r="W38" s="6">
        <f t="shared" si="12"/>
        <v>54.135198020150426</v>
      </c>
      <c r="X38" s="6">
        <f t="shared" si="13"/>
        <v>1.2451095544634598</v>
      </c>
      <c r="Y38" s="220">
        <f t="shared" si="4"/>
        <v>0</v>
      </c>
      <c r="Z38" s="60"/>
      <c r="AA38" s="4"/>
    </row>
    <row r="39" spans="1:27" ht="15.75" customHeight="1" thickBot="1">
      <c r="A39" s="56"/>
      <c r="B39" s="56"/>
      <c r="C39" s="56"/>
      <c r="D39" s="56"/>
      <c r="E39" s="56"/>
      <c r="F39" s="56"/>
      <c r="G39" s="56"/>
      <c r="H39" s="56"/>
      <c r="I39" s="56"/>
      <c r="J39" s="128">
        <f t="shared" si="14"/>
        <v>0.07128712871287132</v>
      </c>
      <c r="K39" s="129">
        <f t="shared" si="6"/>
        <v>25</v>
      </c>
      <c r="L39" s="130">
        <f t="shared" si="7"/>
        <v>-1.9189765458422186</v>
      </c>
      <c r="M39" s="6">
        <f t="shared" si="8"/>
        <v>3.8495049504950516</v>
      </c>
      <c r="N39" s="6">
        <f t="shared" si="9"/>
        <v>4.012039603960396</v>
      </c>
      <c r="O39" s="6">
        <f t="shared" si="1"/>
        <v>0</v>
      </c>
      <c r="P39" s="130">
        <f t="shared" si="16"/>
        <v>0.6526156909633982</v>
      </c>
      <c r="Q39" s="6">
        <f t="shared" si="10"/>
        <v>170.83281865313583</v>
      </c>
      <c r="R39" s="130">
        <f t="shared" si="18"/>
        <v>2.415493963189424</v>
      </c>
      <c r="S39" s="130">
        <f t="shared" si="11"/>
        <v>0.9734442409758217</v>
      </c>
      <c r="T39" s="140">
        <f t="shared" si="19"/>
        <v>52.565989012694374</v>
      </c>
      <c r="U39" s="143">
        <f t="shared" si="2"/>
        <v>43.47826086956522</v>
      </c>
      <c r="V39" s="6">
        <f t="shared" si="3"/>
        <v>89.79996068328347</v>
      </c>
      <c r="W39" s="6">
        <f t="shared" si="12"/>
        <v>70.83281865313583</v>
      </c>
      <c r="X39" s="6">
        <f t="shared" si="13"/>
        <v>1.629154829022124</v>
      </c>
      <c r="Y39" s="220">
        <f t="shared" si="4"/>
        <v>0</v>
      </c>
      <c r="Z39" s="60"/>
      <c r="AA39" s="4"/>
    </row>
    <row r="40" spans="1:27" ht="15.75" customHeight="1">
      <c r="A40" s="56"/>
      <c r="B40" s="21">
        <v>3</v>
      </c>
      <c r="C40" s="72" t="s">
        <v>77</v>
      </c>
      <c r="D40" s="72"/>
      <c r="E40" s="72"/>
      <c r="F40" s="72"/>
      <c r="G40" s="23" t="str">
        <f>INDEX(B44:B54,$B$40)</f>
        <v>LC 20/22</v>
      </c>
      <c r="H40" s="54">
        <v>0.75</v>
      </c>
      <c r="I40" s="56"/>
      <c r="J40" s="128">
        <f t="shared" si="14"/>
        <v>0.07574257425742578</v>
      </c>
      <c r="K40" s="129">
        <f t="shared" si="6"/>
        <v>25</v>
      </c>
      <c r="L40" s="130">
        <f t="shared" si="7"/>
        <v>-2.0487412961971088</v>
      </c>
      <c r="M40" s="6">
        <f t="shared" si="8"/>
        <v>4.090099009900992</v>
      </c>
      <c r="N40" s="6">
        <f t="shared" si="9"/>
        <v>3.9927920792079203</v>
      </c>
      <c r="O40" s="6">
        <f t="shared" si="1"/>
        <v>0.09730693069307206</v>
      </c>
      <c r="P40" s="130">
        <f t="shared" si="16"/>
        <v>0.6745969498910678</v>
      </c>
      <c r="Q40" s="6">
        <f t="shared" si="10"/>
        <v>187.6234455445546</v>
      </c>
      <c r="R40" s="130">
        <f t="shared" si="18"/>
        <v>2.550015716750593</v>
      </c>
      <c r="S40" s="130">
        <f t="shared" si="11"/>
        <v>0.9714799390157333</v>
      </c>
      <c r="T40" s="140">
        <f t="shared" si="19"/>
        <v>52.4599167068496</v>
      </c>
      <c r="U40" s="143">
        <f t="shared" si="2"/>
        <v>43.47826086956522</v>
      </c>
      <c r="V40" s="6">
        <f t="shared" si="3"/>
        <v>98.42710325519467</v>
      </c>
      <c r="W40" s="6">
        <f t="shared" si="12"/>
        <v>87.62344554455461</v>
      </c>
      <c r="X40" s="6">
        <f t="shared" si="13"/>
        <v>2.0153392475247562</v>
      </c>
      <c r="Y40" s="220">
        <f t="shared" si="4"/>
        <v>0</v>
      </c>
      <c r="Z40" s="60"/>
      <c r="AA40" s="4"/>
    </row>
    <row r="41" spans="1:27" ht="15.75" customHeight="1">
      <c r="A41" s="56"/>
      <c r="B41" s="50" t="s">
        <v>56</v>
      </c>
      <c r="C41" s="44" t="s">
        <v>57</v>
      </c>
      <c r="D41" s="44" t="s">
        <v>3</v>
      </c>
      <c r="E41" s="44" t="s">
        <v>58</v>
      </c>
      <c r="F41" s="44" t="s">
        <v>59</v>
      </c>
      <c r="G41" s="44" t="s">
        <v>60</v>
      </c>
      <c r="H41" s="45" t="s">
        <v>78</v>
      </c>
      <c r="I41" s="56"/>
      <c r="J41" s="128">
        <f t="shared" si="14"/>
        <v>0.08019801980198024</v>
      </c>
      <c r="K41" s="129">
        <f t="shared" si="6"/>
        <v>25</v>
      </c>
      <c r="L41" s="130">
        <f t="shared" si="7"/>
        <v>-2.179763186221745</v>
      </c>
      <c r="M41" s="6">
        <f t="shared" si="8"/>
        <v>4.330693069306933</v>
      </c>
      <c r="N41" s="6">
        <f t="shared" si="9"/>
        <v>3.9735445544554455</v>
      </c>
      <c r="O41" s="6">
        <f t="shared" si="1"/>
        <v>0.35714851485148724</v>
      </c>
      <c r="P41" s="130">
        <f t="shared" si="16"/>
        <v>0.6941563786008232</v>
      </c>
      <c r="Q41" s="6">
        <f t="shared" si="10"/>
        <v>204.42011881188134</v>
      </c>
      <c r="R41" s="130">
        <f t="shared" si="18"/>
        <v>2.6817094504328325</v>
      </c>
      <c r="S41" s="130">
        <f t="shared" si="11"/>
        <v>0.9694632663171463</v>
      </c>
      <c r="T41" s="140">
        <f t="shared" si="19"/>
        <v>52.3510163811259</v>
      </c>
      <c r="U41" s="143">
        <f t="shared" si="2"/>
        <v>43.47826086956522</v>
      </c>
      <c r="V41" s="6">
        <f t="shared" si="3"/>
        <v>107.01600988552504</v>
      </c>
      <c r="W41" s="6">
        <f t="shared" si="12"/>
        <v>104.42011881188134</v>
      </c>
      <c r="X41" s="6">
        <f t="shared" si="13"/>
        <v>2.401662732673271</v>
      </c>
      <c r="Y41" s="220">
        <f t="shared" si="4"/>
        <v>0</v>
      </c>
      <c r="Z41" s="60"/>
      <c r="AA41" s="4"/>
    </row>
    <row r="42" spans="1:27" ht="15.75" customHeight="1">
      <c r="A42" s="56"/>
      <c r="B42" s="62"/>
      <c r="C42" s="68">
        <f aca="true" t="shared" si="20" ref="C42:H42">INDEX(C44:C54,$B$40)</f>
        <v>20</v>
      </c>
      <c r="D42" s="96">
        <f t="shared" si="20"/>
        <v>-2</v>
      </c>
      <c r="E42" s="96">
        <f t="shared" si="20"/>
        <v>-2.640909090909091</v>
      </c>
      <c r="F42" s="33">
        <f t="shared" si="20"/>
        <v>2</v>
      </c>
      <c r="G42" s="51">
        <f t="shared" si="20"/>
        <v>1</v>
      </c>
      <c r="H42" s="86">
        <f t="shared" si="20"/>
        <v>1300</v>
      </c>
      <c r="I42" s="56"/>
      <c r="J42" s="128">
        <f t="shared" si="14"/>
        <v>0.0846534653465347</v>
      </c>
      <c r="K42" s="129">
        <f t="shared" si="6"/>
        <v>25</v>
      </c>
      <c r="L42" s="130">
        <f t="shared" si="7"/>
        <v>-2.312060573282857</v>
      </c>
      <c r="M42" s="6">
        <f t="shared" si="8"/>
        <v>4.571287128712874</v>
      </c>
      <c r="N42" s="6">
        <f t="shared" si="9"/>
        <v>3.9542970297029703</v>
      </c>
      <c r="O42" s="6">
        <f t="shared" si="1"/>
        <v>0.6169900990099038</v>
      </c>
      <c r="P42" s="130">
        <f t="shared" si="16"/>
        <v>0.7116569200779729</v>
      </c>
      <c r="Q42" s="6">
        <f t="shared" si="10"/>
        <v>221.21679207920812</v>
      </c>
      <c r="R42" s="130">
        <f t="shared" si="18"/>
        <v>2.811179041186689</v>
      </c>
      <c r="S42" s="130">
        <f t="shared" si="11"/>
        <v>0.9674054057865521</v>
      </c>
      <c r="T42" s="140">
        <f t="shared" si="19"/>
        <v>52.239891912473816</v>
      </c>
      <c r="U42" s="143">
        <f t="shared" si="2"/>
        <v>43.47826086956522</v>
      </c>
      <c r="V42" s="6">
        <f t="shared" si="3"/>
        <v>115.56341307442025</v>
      </c>
      <c r="W42" s="6">
        <f t="shared" si="12"/>
        <v>121.21679207920812</v>
      </c>
      <c r="X42" s="6">
        <f t="shared" si="13"/>
        <v>2.7879862178217865</v>
      </c>
      <c r="Y42" s="220">
        <f t="shared" si="4"/>
        <v>0</v>
      </c>
      <c r="Z42" s="60"/>
      <c r="AA42" s="4"/>
    </row>
    <row r="43" spans="1:27" ht="15.75" customHeight="1">
      <c r="A43" s="56"/>
      <c r="B43" s="50" t="s">
        <v>56</v>
      </c>
      <c r="C43" s="44" t="s">
        <v>57</v>
      </c>
      <c r="D43" s="44" t="s">
        <v>3</v>
      </c>
      <c r="E43" s="44" t="s">
        <v>58</v>
      </c>
      <c r="F43" s="44" t="s">
        <v>59</v>
      </c>
      <c r="G43" s="44" t="s">
        <v>60</v>
      </c>
      <c r="H43" s="45" t="s">
        <v>78</v>
      </c>
      <c r="I43" s="56"/>
      <c r="J43" s="128">
        <f t="shared" si="14"/>
        <v>0.08910891089108916</v>
      </c>
      <c r="K43" s="129">
        <f t="shared" si="6"/>
        <v>25</v>
      </c>
      <c r="L43" s="130">
        <f t="shared" si="7"/>
        <v>-2.445652173913045</v>
      </c>
      <c r="M43" s="6">
        <f t="shared" si="8"/>
        <v>4.811881188118814</v>
      </c>
      <c r="N43" s="6">
        <f t="shared" si="9"/>
        <v>3.9350495049504945</v>
      </c>
      <c r="O43" s="6">
        <f t="shared" si="1"/>
        <v>0.8768316831683198</v>
      </c>
      <c r="P43" s="130">
        <f t="shared" si="16"/>
        <v>0.7274074074074075</v>
      </c>
      <c r="Q43" s="6">
        <f t="shared" si="10"/>
        <v>238.0134653465348</v>
      </c>
      <c r="R43" s="130">
        <f t="shared" si="18"/>
        <v>2.9388953640781597</v>
      </c>
      <c r="S43" s="130">
        <f t="shared" si="11"/>
        <v>0.9653150773325804</v>
      </c>
      <c r="T43" s="140">
        <f t="shared" si="19"/>
        <v>52.12701417595934</v>
      </c>
      <c r="U43" s="143">
        <f t="shared" si="2"/>
        <v>43.47826086956522</v>
      </c>
      <c r="V43" s="6">
        <f t="shared" si="3"/>
        <v>124.06931282188025</v>
      </c>
      <c r="W43" s="6">
        <f t="shared" si="12"/>
        <v>138.0134653465348</v>
      </c>
      <c r="X43" s="6">
        <f t="shared" si="13"/>
        <v>3.1743097029703</v>
      </c>
      <c r="Y43" s="220">
        <f t="shared" si="4"/>
        <v>0</v>
      </c>
      <c r="Z43" s="60"/>
      <c r="AA43" s="4"/>
    </row>
    <row r="44" spans="1:27" ht="15.75" customHeight="1">
      <c r="A44" s="56"/>
      <c r="B44" s="27" t="s">
        <v>79</v>
      </c>
      <c r="C44" s="5">
        <v>12</v>
      </c>
      <c r="D44" s="75">
        <v>-2</v>
      </c>
      <c r="E44" s="75">
        <f>-3.5*(0.4+0.6*H44/2200)</f>
        <v>-2.5454545454545454</v>
      </c>
      <c r="F44" s="76">
        <v>2</v>
      </c>
      <c r="G44" s="28">
        <f aca="true" t="shared" si="21" ref="G44:G54">C44/10/$E$8*$H$40</f>
        <v>0.6</v>
      </c>
      <c r="H44" s="78">
        <v>1200</v>
      </c>
      <c r="I44" s="56"/>
      <c r="J44" s="128">
        <f t="shared" si="14"/>
        <v>0.09356435643564362</v>
      </c>
      <c r="K44" s="129">
        <f t="shared" si="6"/>
        <v>25</v>
      </c>
      <c r="L44" s="130">
        <f t="shared" si="7"/>
        <v>-2.580557072637905</v>
      </c>
      <c r="M44" s="6">
        <f t="shared" si="8"/>
        <v>5.052475247524756</v>
      </c>
      <c r="N44" s="6">
        <f t="shared" si="9"/>
        <v>3.9158019801980197</v>
      </c>
      <c r="O44" s="6">
        <f t="shared" si="1"/>
        <v>1.136673267326736</v>
      </c>
      <c r="P44" s="130">
        <f t="shared" si="16"/>
        <v>0.7416578483245152</v>
      </c>
      <c r="Q44" s="6">
        <f t="shared" si="10"/>
        <v>254.8101386138616</v>
      </c>
      <c r="R44" s="130">
        <f t="shared" si="18"/>
        <v>3.065205136874386</v>
      </c>
      <c r="S44" s="130">
        <f t="shared" si="11"/>
        <v>0.9631987016546227</v>
      </c>
      <c r="T44" s="140">
        <f t="shared" si="19"/>
        <v>52.01272988934963</v>
      </c>
      <c r="U44" s="143">
        <f t="shared" si="2"/>
        <v>43.47826086956522</v>
      </c>
      <c r="V44" s="6">
        <f t="shared" si="3"/>
        <v>132.5337091279052</v>
      </c>
      <c r="W44" s="6">
        <f t="shared" si="12"/>
        <v>154.8101386138616</v>
      </c>
      <c r="X44" s="6">
        <f t="shared" si="13"/>
        <v>3.5606331881188167</v>
      </c>
      <c r="Y44" s="220">
        <f t="shared" si="4"/>
        <v>0</v>
      </c>
      <c r="Z44" s="60"/>
      <c r="AA44" s="4"/>
    </row>
    <row r="45" spans="1:27" ht="15.75" customHeight="1">
      <c r="A45" s="56"/>
      <c r="B45" s="52" t="s">
        <v>80</v>
      </c>
      <c r="C45" s="5">
        <v>16</v>
      </c>
      <c r="D45" s="75">
        <v>-2</v>
      </c>
      <c r="E45" s="75">
        <f aca="true" t="shared" si="22" ref="E45:E54">-3.5*(0.4+0.6*H45/2200)</f>
        <v>-2.5454545454545454</v>
      </c>
      <c r="F45" s="76">
        <v>2</v>
      </c>
      <c r="G45" s="28">
        <f t="shared" si="21"/>
        <v>0.8</v>
      </c>
      <c r="H45" s="78">
        <v>1200</v>
      </c>
      <c r="I45" s="56"/>
      <c r="J45" s="128">
        <f t="shared" si="14"/>
        <v>0.09801980198019808</v>
      </c>
      <c r="K45" s="129">
        <f t="shared" si="6"/>
        <v>25</v>
      </c>
      <c r="L45" s="130">
        <f t="shared" si="7"/>
        <v>-2.7167947310647658</v>
      </c>
      <c r="M45" s="6">
        <f t="shared" si="8"/>
        <v>5.293069306930696</v>
      </c>
      <c r="N45" s="6">
        <f t="shared" si="9"/>
        <v>3.8965544554455445</v>
      </c>
      <c r="O45" s="6">
        <f t="shared" si="1"/>
        <v>1.3965148514851515</v>
      </c>
      <c r="P45" s="130">
        <f t="shared" si="16"/>
        <v>0.7546127946127947</v>
      </c>
      <c r="Q45" s="6">
        <f t="shared" si="10"/>
        <v>271.6068118811883</v>
      </c>
      <c r="R45" s="130">
        <f t="shared" si="18"/>
        <v>3.190369310641578</v>
      </c>
      <c r="S45" s="130">
        <f t="shared" si="11"/>
        <v>0.9610611111798312</v>
      </c>
      <c r="T45" s="140">
        <f t="shared" si="19"/>
        <v>51.89730000371088</v>
      </c>
      <c r="U45" s="143">
        <f t="shared" si="2"/>
        <v>43.47826086956522</v>
      </c>
      <c r="V45" s="6">
        <f t="shared" si="3"/>
        <v>140.95660199249497</v>
      </c>
      <c r="W45" s="6">
        <f t="shared" si="12"/>
        <v>171.60681188118832</v>
      </c>
      <c r="X45" s="6">
        <f t="shared" si="13"/>
        <v>3.9469566732673314</v>
      </c>
      <c r="Y45" s="220">
        <f t="shared" si="4"/>
        <v>0</v>
      </c>
      <c r="Z45" s="60"/>
      <c r="AA45" s="4"/>
    </row>
    <row r="46" spans="1:27" ht="15.75" customHeight="1">
      <c r="A46" s="56"/>
      <c r="B46" s="27" t="s">
        <v>81</v>
      </c>
      <c r="C46" s="5">
        <v>20</v>
      </c>
      <c r="D46" s="75">
        <v>-2</v>
      </c>
      <c r="E46" s="75">
        <f t="shared" si="22"/>
        <v>-2.640909090909091</v>
      </c>
      <c r="F46" s="76">
        <v>2</v>
      </c>
      <c r="G46" s="28">
        <f t="shared" si="21"/>
        <v>1</v>
      </c>
      <c r="H46" s="78">
        <v>1300</v>
      </c>
      <c r="I46" s="56"/>
      <c r="J46" s="128">
        <f t="shared" si="14"/>
        <v>0.10247524752475254</v>
      </c>
      <c r="K46" s="129">
        <f t="shared" si="6"/>
        <v>25</v>
      </c>
      <c r="L46" s="130">
        <f t="shared" si="7"/>
        <v>-2.8543849972421422</v>
      </c>
      <c r="M46" s="6">
        <f t="shared" si="8"/>
        <v>5.533663366336637</v>
      </c>
      <c r="N46" s="6">
        <f t="shared" si="9"/>
        <v>3.8773069306930688</v>
      </c>
      <c r="O46" s="6">
        <f t="shared" si="1"/>
        <v>1.6563564356435685</v>
      </c>
      <c r="P46" s="130">
        <f t="shared" si="16"/>
        <v>0.7664412238325283</v>
      </c>
      <c r="Q46" s="6">
        <f t="shared" si="10"/>
        <v>288.4034851485151</v>
      </c>
      <c r="R46" s="130">
        <f t="shared" si="18"/>
        <v>3.314588045089073</v>
      </c>
      <c r="S46" s="130">
        <f t="shared" si="11"/>
        <v>0.9589060125694895</v>
      </c>
      <c r="T46" s="140">
        <f t="shared" si="19"/>
        <v>51.780924678752434</v>
      </c>
      <c r="U46" s="143">
        <f t="shared" si="2"/>
        <v>43.47826086956522</v>
      </c>
      <c r="V46" s="6">
        <f t="shared" si="3"/>
        <v>149.33799141564955</v>
      </c>
      <c r="W46" s="6">
        <f t="shared" si="12"/>
        <v>188.40348514851507</v>
      </c>
      <c r="X46" s="6">
        <f t="shared" si="13"/>
        <v>4.333280158415847</v>
      </c>
      <c r="Y46" s="220">
        <f t="shared" si="4"/>
        <v>0</v>
      </c>
      <c r="Z46" s="60"/>
      <c r="AA46" s="4"/>
    </row>
    <row r="47" spans="1:27" ht="15.75" customHeight="1">
      <c r="A47" s="56"/>
      <c r="B47" s="27" t="s">
        <v>82</v>
      </c>
      <c r="C47" s="5">
        <v>25</v>
      </c>
      <c r="D47" s="75">
        <v>-2</v>
      </c>
      <c r="E47" s="75">
        <f t="shared" si="22"/>
        <v>-2.640909090909091</v>
      </c>
      <c r="F47" s="76">
        <v>2</v>
      </c>
      <c r="G47" s="28">
        <f t="shared" si="21"/>
        <v>1.25</v>
      </c>
      <c r="H47" s="78">
        <v>1300</v>
      </c>
      <c r="I47" s="56"/>
      <c r="J47" s="128">
        <f t="shared" si="14"/>
        <v>0.106930693069307</v>
      </c>
      <c r="K47" s="129">
        <f t="shared" si="6"/>
        <v>25</v>
      </c>
      <c r="L47" s="130">
        <f t="shared" si="7"/>
        <v>-2.993348115299337</v>
      </c>
      <c r="M47" s="6">
        <f t="shared" si="8"/>
        <v>5.774257425742578</v>
      </c>
      <c r="N47" s="6">
        <f t="shared" si="9"/>
        <v>3.858059405940594</v>
      </c>
      <c r="O47" s="6">
        <f t="shared" si="1"/>
        <v>1.9161980198019837</v>
      </c>
      <c r="P47" s="130">
        <f t="shared" si="16"/>
        <v>0.7772839506172842</v>
      </c>
      <c r="Q47" s="6">
        <f t="shared" si="10"/>
        <v>305.2001584158418</v>
      </c>
      <c r="R47" s="130">
        <f t="shared" si="18"/>
        <v>3.4380174368135683</v>
      </c>
      <c r="S47" s="130">
        <f t="shared" si="11"/>
        <v>0.9567362965013146</v>
      </c>
      <c r="T47" s="140">
        <f t="shared" si="19"/>
        <v>51.66376001107099</v>
      </c>
      <c r="U47" s="143">
        <f t="shared" si="2"/>
        <v>43.47826086956522</v>
      </c>
      <c r="V47" s="6">
        <f t="shared" si="3"/>
        <v>157.677877397369</v>
      </c>
      <c r="W47" s="6">
        <f t="shared" si="12"/>
        <v>205.20015841584183</v>
      </c>
      <c r="X47" s="6">
        <f t="shared" si="13"/>
        <v>4.719603643564362</v>
      </c>
      <c r="Y47" s="220">
        <f t="shared" si="4"/>
        <v>0</v>
      </c>
      <c r="Z47" s="60"/>
      <c r="AA47" s="4"/>
    </row>
    <row r="48" spans="1:27" ht="15.75" customHeight="1">
      <c r="A48" s="56"/>
      <c r="B48" s="27" t="s">
        <v>83</v>
      </c>
      <c r="C48" s="5">
        <v>30</v>
      </c>
      <c r="D48" s="75">
        <v>-2</v>
      </c>
      <c r="E48" s="75">
        <f t="shared" si="22"/>
        <v>-2.7363636363636363</v>
      </c>
      <c r="F48" s="76">
        <v>2</v>
      </c>
      <c r="G48" s="28">
        <f t="shared" si="21"/>
        <v>1.5</v>
      </c>
      <c r="H48" s="78">
        <v>1400</v>
      </c>
      <c r="I48" s="56"/>
      <c r="J48" s="128">
        <f t="shared" si="14"/>
        <v>0.11138613861386146</v>
      </c>
      <c r="K48" s="77">
        <f t="shared" si="6"/>
        <v>25</v>
      </c>
      <c r="L48" s="122">
        <f t="shared" si="7"/>
        <v>-3.133704735376047</v>
      </c>
      <c r="M48" s="6">
        <f t="shared" si="8"/>
        <v>6.014851485148519</v>
      </c>
      <c r="N48" s="6">
        <f t="shared" si="9"/>
        <v>3.8388118811881187</v>
      </c>
      <c r="O48" s="6">
        <f t="shared" si="1"/>
        <v>2.1760396039604</v>
      </c>
      <c r="P48" s="130">
        <f t="shared" si="16"/>
        <v>0.7872592592592594</v>
      </c>
      <c r="Q48" s="6">
        <f>M48*P48*BOben*$G$58</f>
        <v>321.99683168316864</v>
      </c>
      <c r="R48" s="130">
        <f t="shared" si="18"/>
        <v>3.560781011861068</v>
      </c>
      <c r="S48" s="130">
        <f t="shared" si="11"/>
        <v>0.9545542504946768</v>
      </c>
      <c r="T48" s="140">
        <f t="shared" si="19"/>
        <v>51.54592952671255</v>
      </c>
      <c r="U48" s="143">
        <f t="shared" si="2"/>
        <v>43.47826086956522</v>
      </c>
      <c r="V48" s="6">
        <f>Q48*T48/100</f>
        <v>165.97625993765334</v>
      </c>
      <c r="W48" s="6">
        <f t="shared" si="12"/>
        <v>221.99683168316864</v>
      </c>
      <c r="X48" s="6">
        <f t="shared" si="13"/>
        <v>5.105927128712879</v>
      </c>
      <c r="Y48" s="220">
        <f t="shared" si="4"/>
        <v>0</v>
      </c>
      <c r="Z48" s="60"/>
      <c r="AA48" s="4"/>
    </row>
    <row r="49" spans="1:27" ht="15.75" customHeight="1">
      <c r="A49" s="56"/>
      <c r="B49" s="27" t="s">
        <v>84</v>
      </c>
      <c r="C49" s="5">
        <v>35</v>
      </c>
      <c r="D49" s="75">
        <v>-2</v>
      </c>
      <c r="E49" s="75">
        <f t="shared" si="22"/>
        <v>-2.831818181818182</v>
      </c>
      <c r="F49" s="76">
        <v>2</v>
      </c>
      <c r="G49" s="28">
        <f t="shared" si="21"/>
        <v>1.75</v>
      </c>
      <c r="H49" s="78">
        <v>1500</v>
      </c>
      <c r="I49" s="56"/>
      <c r="J49" s="128">
        <f t="shared" si="14"/>
        <v>0.11584158415841592</v>
      </c>
      <c r="K49" s="129">
        <f t="shared" si="6"/>
        <v>25</v>
      </c>
      <c r="L49" s="130">
        <f t="shared" si="7"/>
        <v>-3.275475923852186</v>
      </c>
      <c r="M49" s="6">
        <f t="shared" si="8"/>
        <v>6.255445544554459</v>
      </c>
      <c r="N49" s="6">
        <f t="shared" si="9"/>
        <v>3.819564356435643</v>
      </c>
      <c r="O49" s="6">
        <f t="shared" si="1"/>
        <v>2.4358811881188163</v>
      </c>
      <c r="P49" s="130">
        <f t="shared" si="16"/>
        <v>0.7964672364672366</v>
      </c>
      <c r="Q49" s="6">
        <f>M49*P49*BOben*$G$58</f>
        <v>338.7935049504953</v>
      </c>
      <c r="R49" s="130">
        <f aca="true" t="shared" si="23" ref="R49:R64">IF(O49=0,(0.5*M49^2+N49^2/($F$58+2)*(1-(1-M49/N49)^($F$58+2))+N49^2/($F$58+1)*(-1+(1-M49/N49)^($F$58+1)))/(M49+N49/($F$58+1)*(-1+(1-M49/N49)^($F$58+1))),(N49*(1/($F$58+2)-1/($F$58+1)+0.5*M49^2/N49^2)/(M49/N49-1/($F$58+1))))</f>
        <v>3.682977799625722</v>
      </c>
      <c r="S49" s="130">
        <f t="shared" si="11"/>
        <v>0.9523617084272457</v>
      </c>
      <c r="T49" s="140">
        <f aca="true" t="shared" si="24" ref="T49:T64">$M$4-M49+R49</f>
        <v>51.42753225507126</v>
      </c>
      <c r="U49" s="143">
        <f t="shared" si="2"/>
        <v>43.47826086956522</v>
      </c>
      <c r="V49" s="6">
        <f>Q49*T49/100</f>
        <v>174.2331390365024</v>
      </c>
      <c r="W49" s="6">
        <f t="shared" si="12"/>
        <v>238.79350495049528</v>
      </c>
      <c r="X49" s="6">
        <f t="shared" si="13"/>
        <v>5.492250613861391</v>
      </c>
      <c r="Y49" s="220">
        <f t="shared" si="4"/>
        <v>0</v>
      </c>
      <c r="Z49" s="60"/>
      <c r="AA49" s="4"/>
    </row>
    <row r="50" spans="1:27" ht="15.75" customHeight="1">
      <c r="A50" s="56"/>
      <c r="B50" s="27" t="s">
        <v>85</v>
      </c>
      <c r="C50" s="5">
        <v>40</v>
      </c>
      <c r="D50" s="75">
        <v>-2</v>
      </c>
      <c r="E50" s="75">
        <f t="shared" si="22"/>
        <v>-2.831818181818182</v>
      </c>
      <c r="F50" s="76">
        <v>2</v>
      </c>
      <c r="G50" s="28">
        <f t="shared" si="21"/>
        <v>2</v>
      </c>
      <c r="H50" s="78">
        <v>1500</v>
      </c>
      <c r="I50" s="56"/>
      <c r="J50" s="128">
        <f t="shared" si="14"/>
        <v>0.12029702970297038</v>
      </c>
      <c r="K50" s="129">
        <f t="shared" si="6"/>
        <v>25</v>
      </c>
      <c r="L50" s="130">
        <f t="shared" si="7"/>
        <v>-3.418683173888579</v>
      </c>
      <c r="M50" s="6">
        <f t="shared" si="8"/>
        <v>6.4960396039604005</v>
      </c>
      <c r="N50" s="6">
        <f t="shared" si="9"/>
        <v>3.800316831683168</v>
      </c>
      <c r="O50" s="6">
        <f t="shared" si="1"/>
        <v>2.6957227722772323</v>
      </c>
      <c r="P50" s="130">
        <f t="shared" si="16"/>
        <v>0.8049931412894378</v>
      </c>
      <c r="Q50" s="6">
        <f t="shared" si="10"/>
        <v>355.5901782178221</v>
      </c>
      <c r="R50" s="130">
        <f t="shared" si="23"/>
        <v>3.804688118474449</v>
      </c>
      <c r="S50" s="130">
        <f t="shared" si="11"/>
        <v>0.9501601576761862</v>
      </c>
      <c r="T50" s="140">
        <f t="shared" si="24"/>
        <v>51.308648514514054</v>
      </c>
      <c r="U50" s="143">
        <f t="shared" si="2"/>
        <v>43.47826086956522</v>
      </c>
      <c r="V50" s="6">
        <f t="shared" si="3"/>
        <v>182.44851469391645</v>
      </c>
      <c r="W50" s="6">
        <f t="shared" si="12"/>
        <v>255.59017821782209</v>
      </c>
      <c r="X50" s="6">
        <f t="shared" si="13"/>
        <v>5.878574099009908</v>
      </c>
      <c r="Y50" s="220">
        <f t="shared" si="4"/>
        <v>0</v>
      </c>
      <c r="Z50" s="60"/>
      <c r="AA50" s="4"/>
    </row>
    <row r="51" spans="1:27" ht="15.75" customHeight="1">
      <c r="A51" s="56"/>
      <c r="B51" s="27" t="s">
        <v>86</v>
      </c>
      <c r="C51" s="5">
        <v>45</v>
      </c>
      <c r="D51" s="75">
        <v>-2</v>
      </c>
      <c r="E51" s="75">
        <f t="shared" si="22"/>
        <v>-2.9272727272727277</v>
      </c>
      <c r="F51" s="76">
        <v>2</v>
      </c>
      <c r="G51" s="28">
        <f t="shared" si="21"/>
        <v>2.25</v>
      </c>
      <c r="H51" s="78">
        <v>1600</v>
      </c>
      <c r="I51" s="56"/>
      <c r="J51" s="128">
        <f t="shared" si="14"/>
        <v>0.12475247524752484</v>
      </c>
      <c r="K51" s="129">
        <f t="shared" si="6"/>
        <v>24.555555555555536</v>
      </c>
      <c r="L51" s="130">
        <f t="shared" si="7"/>
        <v>-3.5</v>
      </c>
      <c r="M51" s="6">
        <f t="shared" si="8"/>
        <v>6.736633663366341</v>
      </c>
      <c r="N51" s="6">
        <f t="shared" si="9"/>
        <v>3.8495049504950525</v>
      </c>
      <c r="O51" s="6">
        <f t="shared" si="1"/>
        <v>2.8871287128712884</v>
      </c>
      <c r="P51" s="130">
        <f t="shared" si="16"/>
        <v>0.8095238095238095</v>
      </c>
      <c r="Q51" s="6">
        <f t="shared" si="10"/>
        <v>370.83564356435664</v>
      </c>
      <c r="R51" s="130">
        <f t="shared" si="23"/>
        <v>3.934420500873619</v>
      </c>
      <c r="S51" s="130">
        <f t="shared" si="11"/>
        <v>0.9481071636575422</v>
      </c>
      <c r="T51" s="140">
        <f t="shared" si="24"/>
        <v>51.19778683750728</v>
      </c>
      <c r="U51" s="143">
        <f t="shared" si="2"/>
        <v>43.47826086956522</v>
      </c>
      <c r="V51" s="6">
        <f t="shared" si="3"/>
        <v>189.85964230957762</v>
      </c>
      <c r="W51" s="6">
        <f t="shared" si="12"/>
        <v>270.83564356435664</v>
      </c>
      <c r="X51" s="6">
        <f t="shared" si="13"/>
        <v>6.229219801980203</v>
      </c>
      <c r="Y51" s="220">
        <f t="shared" si="4"/>
        <v>0</v>
      </c>
      <c r="Z51" s="60"/>
      <c r="AA51" s="4"/>
    </row>
    <row r="52" spans="1:27" ht="15.75" customHeight="1">
      <c r="A52" s="56"/>
      <c r="B52" s="27" t="s">
        <v>87</v>
      </c>
      <c r="C52" s="5">
        <v>50</v>
      </c>
      <c r="D52" s="75">
        <v>-2</v>
      </c>
      <c r="E52" s="75">
        <f t="shared" si="22"/>
        <v>-2.9272727272727277</v>
      </c>
      <c r="F52" s="76">
        <v>2</v>
      </c>
      <c r="G52" s="28">
        <f t="shared" si="21"/>
        <v>2.5</v>
      </c>
      <c r="H52" s="78">
        <v>1600</v>
      </c>
      <c r="I52" s="56"/>
      <c r="J52" s="128">
        <f t="shared" si="14"/>
        <v>0.1292079207920793</v>
      </c>
      <c r="K52" s="129">
        <f t="shared" si="6"/>
        <v>23.588122605363964</v>
      </c>
      <c r="L52" s="130">
        <f t="shared" si="7"/>
        <v>-3.5</v>
      </c>
      <c r="M52" s="6">
        <f t="shared" si="8"/>
        <v>6.977227722772282</v>
      </c>
      <c r="N52" s="6">
        <f t="shared" si="9"/>
        <v>3.9869872701555904</v>
      </c>
      <c r="O52" s="6">
        <f t="shared" si="1"/>
        <v>2.9902404526166917</v>
      </c>
      <c r="P52" s="130">
        <f t="shared" si="16"/>
        <v>0.8095238095238095</v>
      </c>
      <c r="Q52" s="6">
        <f t="shared" si="10"/>
        <v>384.07977369165513</v>
      </c>
      <c r="R52" s="130">
        <f t="shared" si="23"/>
        <v>4.074935518761963</v>
      </c>
      <c r="S52" s="130">
        <f t="shared" si="11"/>
        <v>0.9462538480738829</v>
      </c>
      <c r="T52" s="140">
        <f t="shared" si="24"/>
        <v>51.09770779598968</v>
      </c>
      <c r="U52" s="143">
        <f t="shared" si="2"/>
        <v>43.47826086956522</v>
      </c>
      <c r="V52" s="6">
        <f t="shared" si="3"/>
        <v>196.25596046446037</v>
      </c>
      <c r="W52" s="6">
        <f t="shared" si="12"/>
        <v>284.07977369165513</v>
      </c>
      <c r="X52" s="6">
        <f t="shared" si="13"/>
        <v>6.533834794908068</v>
      </c>
      <c r="Y52" s="220">
        <f t="shared" si="4"/>
        <v>0</v>
      </c>
      <c r="Z52" s="60"/>
      <c r="AA52" s="4"/>
    </row>
    <row r="53" spans="1:27" ht="15.75" customHeight="1">
      <c r="A53" s="56"/>
      <c r="B53" s="79" t="s">
        <v>88</v>
      </c>
      <c r="C53" s="5">
        <v>55</v>
      </c>
      <c r="D53" s="75">
        <v>-2.2</v>
      </c>
      <c r="E53" s="75">
        <f>-3.1*(0.4+0.6*H53/2200)</f>
        <v>-2.6772727272727272</v>
      </c>
      <c r="F53" s="76">
        <v>1.75</v>
      </c>
      <c r="G53" s="28">
        <f t="shared" si="21"/>
        <v>2.75</v>
      </c>
      <c r="H53" s="78">
        <v>1700</v>
      </c>
      <c r="I53" s="56"/>
      <c r="J53" s="128">
        <f t="shared" si="14"/>
        <v>0.13366336633663375</v>
      </c>
      <c r="K53" s="129">
        <f t="shared" si="6"/>
        <v>22.68518518518517</v>
      </c>
      <c r="L53" s="130">
        <f t="shared" si="7"/>
        <v>-3.5</v>
      </c>
      <c r="M53" s="6">
        <f t="shared" si="8"/>
        <v>7.2178217821782225</v>
      </c>
      <c r="N53" s="6">
        <f t="shared" si="9"/>
        <v>4.124469589816127</v>
      </c>
      <c r="O53" s="6">
        <f t="shared" si="1"/>
        <v>3.0933521923620955</v>
      </c>
      <c r="P53" s="130">
        <f t="shared" si="16"/>
        <v>0.8095238095238095</v>
      </c>
      <c r="Q53" s="6">
        <f t="shared" si="10"/>
        <v>397.32390381895357</v>
      </c>
      <c r="R53" s="130">
        <f t="shared" si="23"/>
        <v>4.215450536650306</v>
      </c>
      <c r="S53" s="130">
        <f t="shared" si="11"/>
        <v>0.9444005324902238</v>
      </c>
      <c r="T53" s="140">
        <f t="shared" si="24"/>
        <v>50.99762875447209</v>
      </c>
      <c r="U53" s="143">
        <f t="shared" si="2"/>
        <v>43.47826086956522</v>
      </c>
      <c r="V53" s="6">
        <f t="shared" si="3"/>
        <v>202.6257694223657</v>
      </c>
      <c r="W53" s="6">
        <f t="shared" si="12"/>
        <v>297.32390381895357</v>
      </c>
      <c r="X53" s="6">
        <f t="shared" si="13"/>
        <v>6.838449787835932</v>
      </c>
      <c r="Y53" s="220">
        <f t="shared" si="4"/>
        <v>0</v>
      </c>
      <c r="Z53" s="60"/>
      <c r="AA53" s="4"/>
    </row>
    <row r="54" spans="1:27" ht="15.75" customHeight="1" thickBot="1">
      <c r="A54" s="56"/>
      <c r="B54" s="91" t="s">
        <v>89</v>
      </c>
      <c r="C54" s="81">
        <v>60</v>
      </c>
      <c r="D54" s="94">
        <v>-2.3</v>
      </c>
      <c r="E54" s="94">
        <f>-2.9*(0.4+0.6*H54/2200)</f>
        <v>-2.5836363636363635</v>
      </c>
      <c r="F54" s="95">
        <v>1.6</v>
      </c>
      <c r="G54" s="53">
        <f t="shared" si="21"/>
        <v>3</v>
      </c>
      <c r="H54" s="93">
        <v>1800</v>
      </c>
      <c r="I54" s="56"/>
      <c r="J54" s="128">
        <f t="shared" si="14"/>
        <v>0.1381188118811882</v>
      </c>
      <c r="K54" s="129">
        <f t="shared" si="6"/>
        <v>21.84050179211468</v>
      </c>
      <c r="L54" s="130">
        <f t="shared" si="7"/>
        <v>-3.5</v>
      </c>
      <c r="M54" s="6">
        <f t="shared" si="8"/>
        <v>7.458415841584164</v>
      </c>
      <c r="N54" s="6">
        <f t="shared" si="9"/>
        <v>4.2619519094766645</v>
      </c>
      <c r="O54" s="6">
        <f t="shared" si="1"/>
        <v>3.1964639321074992</v>
      </c>
      <c r="P54" s="130">
        <f t="shared" si="16"/>
        <v>0.8095238095238095</v>
      </c>
      <c r="Q54" s="6">
        <f t="shared" si="10"/>
        <v>410.56803394625206</v>
      </c>
      <c r="R54" s="130">
        <f t="shared" si="23"/>
        <v>4.35596555453865</v>
      </c>
      <c r="S54" s="130">
        <f t="shared" si="11"/>
        <v>0.9425472169065645</v>
      </c>
      <c r="T54" s="140">
        <f t="shared" si="24"/>
        <v>50.897549712954486</v>
      </c>
      <c r="U54" s="143">
        <f t="shared" si="2"/>
        <v>43.47826086956522</v>
      </c>
      <c r="V54" s="6">
        <f t="shared" si="3"/>
        <v>208.9690691832935</v>
      </c>
      <c r="W54" s="6">
        <f t="shared" si="12"/>
        <v>310.56803394625206</v>
      </c>
      <c r="X54" s="6">
        <f t="shared" si="13"/>
        <v>7.1430647807637975</v>
      </c>
      <c r="Y54" s="220">
        <f t="shared" si="4"/>
        <v>0</v>
      </c>
      <c r="Z54" s="60"/>
      <c r="AA54" s="4"/>
    </row>
    <row r="55" spans="1:27" ht="15.75" customHeight="1" thickBot="1">
      <c r="A55" s="56"/>
      <c r="B55" s="56"/>
      <c r="C55" s="56"/>
      <c r="D55" s="56"/>
      <c r="E55" s="56"/>
      <c r="F55" s="56"/>
      <c r="G55" s="56"/>
      <c r="H55" s="56"/>
      <c r="I55" s="56"/>
      <c r="J55" s="128">
        <f t="shared" si="14"/>
        <v>0.14257425742574267</v>
      </c>
      <c r="K55" s="129">
        <f t="shared" si="6"/>
        <v>21.048611111111093</v>
      </c>
      <c r="L55" s="130">
        <f t="shared" si="7"/>
        <v>-3.5</v>
      </c>
      <c r="M55" s="6">
        <f t="shared" si="8"/>
        <v>7.699009900990104</v>
      </c>
      <c r="N55" s="6">
        <f t="shared" si="9"/>
        <v>4.399434229137203</v>
      </c>
      <c r="O55" s="6">
        <f t="shared" si="1"/>
        <v>3.2995756718529012</v>
      </c>
      <c r="P55" s="130">
        <f t="shared" si="16"/>
        <v>0.8095238095238095</v>
      </c>
      <c r="Q55" s="6">
        <f t="shared" si="10"/>
        <v>423.8121640735505</v>
      </c>
      <c r="R55" s="130">
        <f t="shared" si="23"/>
        <v>4.496480572426994</v>
      </c>
      <c r="S55" s="130">
        <f t="shared" si="11"/>
        <v>0.9406939013229054</v>
      </c>
      <c r="T55" s="140">
        <f t="shared" si="24"/>
        <v>50.79747067143689</v>
      </c>
      <c r="U55" s="143">
        <f t="shared" si="2"/>
        <v>43.47826086956522</v>
      </c>
      <c r="V55" s="6">
        <f t="shared" si="3"/>
        <v>215.28585974724382</v>
      </c>
      <c r="W55" s="6">
        <f t="shared" si="12"/>
        <v>323.8121640735505</v>
      </c>
      <c r="X55" s="6">
        <f t="shared" si="13"/>
        <v>7.447679773691661</v>
      </c>
      <c r="Y55" s="220">
        <f t="shared" si="4"/>
        <v>0</v>
      </c>
      <c r="Z55" s="60"/>
      <c r="AA55" s="4"/>
    </row>
    <row r="56" spans="1:27" ht="15.75" customHeight="1">
      <c r="A56" s="56"/>
      <c r="B56" s="55">
        <f>B2</f>
        <v>1</v>
      </c>
      <c r="C56" s="72" t="s">
        <v>90</v>
      </c>
      <c r="D56" s="72"/>
      <c r="E56" s="72"/>
      <c r="F56" s="3"/>
      <c r="G56" s="3"/>
      <c r="H56" s="98"/>
      <c r="I56" s="56"/>
      <c r="J56" s="128">
        <f t="shared" si="14"/>
        <v>0.14702970297029713</v>
      </c>
      <c r="K56" s="129">
        <f t="shared" si="6"/>
        <v>20.304713804713785</v>
      </c>
      <c r="L56" s="130">
        <f t="shared" si="7"/>
        <v>-3.5</v>
      </c>
      <c r="M56" s="6">
        <f t="shared" si="8"/>
        <v>7.939603960396045</v>
      </c>
      <c r="N56" s="6">
        <f t="shared" si="9"/>
        <v>4.536916548797741</v>
      </c>
      <c r="O56" s="6">
        <f t="shared" si="1"/>
        <v>3.402687411598304</v>
      </c>
      <c r="P56" s="130">
        <f t="shared" si="16"/>
        <v>0.8095238095238095</v>
      </c>
      <c r="Q56" s="6">
        <f t="shared" si="10"/>
        <v>437.056294200849</v>
      </c>
      <c r="R56" s="130">
        <f t="shared" si="23"/>
        <v>4.636995590315338</v>
      </c>
      <c r="S56" s="130">
        <f t="shared" si="11"/>
        <v>0.9388405857392462</v>
      </c>
      <c r="T56" s="140">
        <f t="shared" si="24"/>
        <v>50.697391629919295</v>
      </c>
      <c r="U56" s="143">
        <f t="shared" si="2"/>
        <v>43.47826086956522</v>
      </c>
      <c r="V56" s="6">
        <f t="shared" si="3"/>
        <v>221.57614111421665</v>
      </c>
      <c r="W56" s="6">
        <f t="shared" si="12"/>
        <v>337.056294200849</v>
      </c>
      <c r="X56" s="6">
        <f t="shared" si="13"/>
        <v>7.752294766619526</v>
      </c>
      <c r="Y56" s="220">
        <f t="shared" si="4"/>
        <v>0</v>
      </c>
      <c r="Z56" s="60"/>
      <c r="AA56" s="4"/>
    </row>
    <row r="57" spans="1:27" ht="15.75" customHeight="1">
      <c r="A57" s="56"/>
      <c r="B57" s="87" t="s">
        <v>26</v>
      </c>
      <c r="C57" s="44" t="s">
        <v>57</v>
      </c>
      <c r="D57" s="44" t="s">
        <v>3</v>
      </c>
      <c r="E57" s="44" t="s">
        <v>58</v>
      </c>
      <c r="F57" s="44" t="s">
        <v>59</v>
      </c>
      <c r="G57" s="44" t="s">
        <v>60</v>
      </c>
      <c r="H57" s="45"/>
      <c r="I57" s="56"/>
      <c r="J57" s="128">
        <f t="shared" si="14"/>
        <v>0.1514851485148516</v>
      </c>
      <c r="K57" s="129">
        <f t="shared" si="6"/>
        <v>19.604575163398675</v>
      </c>
      <c r="L57" s="130">
        <f t="shared" si="7"/>
        <v>-3.5</v>
      </c>
      <c r="M57" s="6">
        <f t="shared" si="8"/>
        <v>8.180198019801987</v>
      </c>
      <c r="N57" s="6">
        <f t="shared" si="9"/>
        <v>4.674398868458279</v>
      </c>
      <c r="O57" s="6">
        <f t="shared" si="1"/>
        <v>3.505799151343708</v>
      </c>
      <c r="P57" s="130">
        <f t="shared" si="16"/>
        <v>0.8095238095238095</v>
      </c>
      <c r="Q57" s="6">
        <f t="shared" si="10"/>
        <v>450.3004243281474</v>
      </c>
      <c r="R57" s="130">
        <f t="shared" si="23"/>
        <v>4.777510608203681</v>
      </c>
      <c r="S57" s="130">
        <f t="shared" si="11"/>
        <v>0.9369872701555869</v>
      </c>
      <c r="T57" s="140">
        <f t="shared" si="24"/>
        <v>50.59731258840169</v>
      </c>
      <c r="U57" s="143">
        <f t="shared" si="2"/>
        <v>43.47826086956522</v>
      </c>
      <c r="V57" s="6">
        <f t="shared" si="3"/>
        <v>227.83991328421197</v>
      </c>
      <c r="W57" s="6">
        <f t="shared" si="12"/>
        <v>350.3004243281474</v>
      </c>
      <c r="X57" s="6">
        <f t="shared" si="13"/>
        <v>8.05690975954739</v>
      </c>
      <c r="Y57" s="220">
        <f t="shared" si="4"/>
        <v>0</v>
      </c>
      <c r="Z57" s="60"/>
      <c r="AA57" s="4"/>
    </row>
    <row r="58" spans="1:27" ht="15.75" customHeight="1">
      <c r="A58" s="56"/>
      <c r="B58" s="100" t="str">
        <f>IF(B2=1,G20,G40)</f>
        <v>C 40/50</v>
      </c>
      <c r="C58" s="96">
        <f>IF($B$2=1,C22,C42)</f>
        <v>40</v>
      </c>
      <c r="D58" s="96">
        <f>IF($B$2=1,D22,D42)</f>
        <v>-2</v>
      </c>
      <c r="E58" s="96">
        <f>IF($B$2=1,E22,E42)</f>
        <v>-3.5</v>
      </c>
      <c r="F58" s="33">
        <f>IF($B$2=1,F22,F42)</f>
        <v>2</v>
      </c>
      <c r="G58" s="96">
        <f>IF($B$2=1,G22,G42)</f>
        <v>2.2666666666666666</v>
      </c>
      <c r="H58" s="64"/>
      <c r="I58" s="56"/>
      <c r="J58" s="128">
        <f t="shared" si="14"/>
        <v>0.15594059405940605</v>
      </c>
      <c r="K58" s="77">
        <f t="shared" si="6"/>
        <v>18.94444444444443</v>
      </c>
      <c r="L58" s="122">
        <f t="shared" si="7"/>
        <v>-3.5</v>
      </c>
      <c r="M58" s="6">
        <f t="shared" si="8"/>
        <v>8.420792079207926</v>
      </c>
      <c r="N58" s="6">
        <f t="shared" si="9"/>
        <v>4.811881188118815</v>
      </c>
      <c r="O58" s="6">
        <f t="shared" si="1"/>
        <v>3.608910891089111</v>
      </c>
      <c r="P58" s="130">
        <f t="shared" si="16"/>
        <v>0.8095238095238095</v>
      </c>
      <c r="Q58" s="6">
        <f>M58*P58*BOben*$G$58</f>
        <v>463.54455445544585</v>
      </c>
      <c r="R58" s="130">
        <f t="shared" si="23"/>
        <v>4.9180256260920245</v>
      </c>
      <c r="S58" s="130">
        <f t="shared" si="11"/>
        <v>0.9351339545719277</v>
      </c>
      <c r="T58" s="140">
        <f t="shared" si="24"/>
        <v>50.4972335468841</v>
      </c>
      <c r="U58" s="143">
        <f t="shared" si="2"/>
        <v>43.47826086956522</v>
      </c>
      <c r="V58" s="6">
        <f>Q58*T58/100</f>
        <v>234.0771762572298</v>
      </c>
      <c r="W58" s="6">
        <f t="shared" si="12"/>
        <v>363.54455445544585</v>
      </c>
      <c r="X58" s="6">
        <f t="shared" si="13"/>
        <v>8.361524752475255</v>
      </c>
      <c r="Y58" s="220">
        <f t="shared" si="4"/>
        <v>0</v>
      </c>
      <c r="Z58" s="60"/>
      <c r="AA58" s="4"/>
    </row>
    <row r="59" spans="1:27" ht="15.75" customHeight="1">
      <c r="A59" s="56"/>
      <c r="B59" s="62" t="s">
        <v>91</v>
      </c>
      <c r="C59" s="5"/>
      <c r="D59" s="5"/>
      <c r="E59" s="5"/>
      <c r="F59" s="5"/>
      <c r="G59" s="5" t="s">
        <v>92</v>
      </c>
      <c r="H59" s="71"/>
      <c r="I59" s="56"/>
      <c r="J59" s="128">
        <f t="shared" si="14"/>
        <v>0.1603960396039605</v>
      </c>
      <c r="K59" s="129">
        <f t="shared" si="6"/>
        <v>18.320987654320973</v>
      </c>
      <c r="L59" s="130">
        <f t="shared" si="7"/>
        <v>-3.5</v>
      </c>
      <c r="M59" s="6">
        <f t="shared" si="8"/>
        <v>8.661386138613867</v>
      </c>
      <c r="N59" s="6">
        <f t="shared" si="9"/>
        <v>4.949363507779353</v>
      </c>
      <c r="O59" s="6">
        <f t="shared" si="1"/>
        <v>3.7120226308345146</v>
      </c>
      <c r="P59" s="130">
        <f t="shared" si="16"/>
        <v>0.8095238095238095</v>
      </c>
      <c r="Q59" s="6">
        <f>M59*P59*BOben*$G$58</f>
        <v>476.78868458274434</v>
      </c>
      <c r="R59" s="130">
        <f t="shared" si="23"/>
        <v>5.058540643980368</v>
      </c>
      <c r="S59" s="130">
        <f t="shared" si="11"/>
        <v>0.9332806389882685</v>
      </c>
      <c r="T59" s="140">
        <f t="shared" si="24"/>
        <v>50.3971545053665</v>
      </c>
      <c r="U59" s="143">
        <f t="shared" si="2"/>
        <v>43.47826086956522</v>
      </c>
      <c r="V59" s="6">
        <f>Q59*T59/100</f>
        <v>240.28793003327021</v>
      </c>
      <c r="W59" s="6">
        <f t="shared" si="12"/>
        <v>376.78868458274434</v>
      </c>
      <c r="X59" s="6">
        <f t="shared" si="13"/>
        <v>8.66613974540312</v>
      </c>
      <c r="Y59" s="220">
        <f t="shared" si="4"/>
        <v>0</v>
      </c>
      <c r="Z59" s="60"/>
      <c r="AA59" s="4"/>
    </row>
    <row r="60" spans="1:27" ht="15.75" customHeight="1">
      <c r="A60" s="56"/>
      <c r="B60" s="87" t="s">
        <v>93</v>
      </c>
      <c r="C60" s="73" t="s">
        <v>53</v>
      </c>
      <c r="D60" s="73" t="s">
        <v>94</v>
      </c>
      <c r="E60" s="73" t="s">
        <v>95</v>
      </c>
      <c r="F60" s="5"/>
      <c r="G60" s="73" t="s">
        <v>53</v>
      </c>
      <c r="H60" s="74" t="s">
        <v>96</v>
      </c>
      <c r="I60" s="56"/>
      <c r="J60" s="128">
        <f t="shared" si="14"/>
        <v>0.16485148514851497</v>
      </c>
      <c r="K60" s="129">
        <f t="shared" si="6"/>
        <v>17.731231231231213</v>
      </c>
      <c r="L60" s="130">
        <f t="shared" si="7"/>
        <v>-3.5</v>
      </c>
      <c r="M60" s="6">
        <f t="shared" si="8"/>
        <v>8.901980198019809</v>
      </c>
      <c r="N60" s="6">
        <f t="shared" si="9"/>
        <v>5.086845827439892</v>
      </c>
      <c r="O60" s="6">
        <f t="shared" si="1"/>
        <v>3.8151343705799166</v>
      </c>
      <c r="P60" s="130">
        <f t="shared" si="16"/>
        <v>0.8095238095238095</v>
      </c>
      <c r="Q60" s="6">
        <f t="shared" si="10"/>
        <v>490.03281471004277</v>
      </c>
      <c r="R60" s="130">
        <f t="shared" si="23"/>
        <v>5.199055661868711</v>
      </c>
      <c r="S60" s="130">
        <f t="shared" si="11"/>
        <v>0.9314273234046093</v>
      </c>
      <c r="T60" s="140">
        <f t="shared" si="24"/>
        <v>50.297075463848905</v>
      </c>
      <c r="U60" s="143">
        <f t="shared" si="2"/>
        <v>43.47826086956522</v>
      </c>
      <c r="V60" s="6">
        <f t="shared" si="3"/>
        <v>246.4721746123331</v>
      </c>
      <c r="W60" s="6">
        <f t="shared" si="12"/>
        <v>390.03281471004277</v>
      </c>
      <c r="X60" s="6">
        <f t="shared" si="13"/>
        <v>8.970754738330983</v>
      </c>
      <c r="Y60" s="220">
        <f t="shared" si="4"/>
        <v>0</v>
      </c>
      <c r="Z60" s="60"/>
      <c r="AA60" s="4"/>
    </row>
    <row r="61" spans="1:27" ht="15.75" customHeight="1">
      <c r="A61" s="56"/>
      <c r="B61" s="62">
        <v>0</v>
      </c>
      <c r="C61" s="77">
        <v>0</v>
      </c>
      <c r="D61" s="101">
        <f>-(1-(1-C61/$D$58)^$F$58)*$G$58</f>
        <v>0</v>
      </c>
      <c r="E61" s="75">
        <f>-(1-(1-C61/$D$58)^$F$58)*$C$58/10</f>
        <v>0</v>
      </c>
      <c r="F61" s="5"/>
      <c r="G61" s="76">
        <f>$D$58</f>
        <v>-2</v>
      </c>
      <c r="H61" s="102">
        <v>0</v>
      </c>
      <c r="I61" s="56"/>
      <c r="J61" s="128">
        <f t="shared" si="14"/>
        <v>0.16930693069306943</v>
      </c>
      <c r="K61" s="129">
        <f t="shared" si="6"/>
        <v>17.172514619883028</v>
      </c>
      <c r="L61" s="130">
        <f t="shared" si="7"/>
        <v>-3.5</v>
      </c>
      <c r="M61" s="6">
        <f t="shared" si="8"/>
        <v>9.14257425742575</v>
      </c>
      <c r="N61" s="6">
        <f t="shared" si="9"/>
        <v>5.224328147100428</v>
      </c>
      <c r="O61" s="6">
        <f t="shared" si="1"/>
        <v>3.918246110325322</v>
      </c>
      <c r="P61" s="130">
        <f t="shared" si="16"/>
        <v>0.8095238095238095</v>
      </c>
      <c r="Q61" s="6">
        <f t="shared" si="10"/>
        <v>503.27694483734126</v>
      </c>
      <c r="R61" s="130">
        <f t="shared" si="23"/>
        <v>5.339570679757056</v>
      </c>
      <c r="S61" s="130">
        <f t="shared" si="11"/>
        <v>0.9295740078209502</v>
      </c>
      <c r="T61" s="140">
        <f t="shared" si="24"/>
        <v>50.19699642233131</v>
      </c>
      <c r="U61" s="143">
        <f t="shared" si="2"/>
        <v>43.47826086956522</v>
      </c>
      <c r="V61" s="6">
        <f t="shared" si="3"/>
        <v>252.6299099944185</v>
      </c>
      <c r="W61" s="6">
        <f t="shared" si="12"/>
        <v>403.27694483734126</v>
      </c>
      <c r="X61" s="6">
        <f t="shared" si="13"/>
        <v>9.275369731258849</v>
      </c>
      <c r="Y61" s="220">
        <f t="shared" si="4"/>
        <v>0</v>
      </c>
      <c r="Z61" s="60"/>
      <c r="AA61" s="4"/>
    </row>
    <row r="62" spans="1:27" ht="15.75" customHeight="1">
      <c r="A62" s="56"/>
      <c r="B62" s="62">
        <v>1</v>
      </c>
      <c r="C62" s="77">
        <f>C61+$D$58/20</f>
        <v>-0.1</v>
      </c>
      <c r="D62" s="101">
        <f>-(1-(1-C62/$D$58)^$F$58)*$G$58</f>
        <v>-0.22100000000000006</v>
      </c>
      <c r="E62" s="75">
        <f aca="true" t="shared" si="25" ref="E62:E80">-(1-(1-C62/$D$58)^$F$58)*$C$58/10</f>
        <v>-0.3900000000000001</v>
      </c>
      <c r="F62" s="5"/>
      <c r="G62" s="76">
        <f>$D$58</f>
        <v>-2</v>
      </c>
      <c r="H62" s="102">
        <f>-G58</f>
        <v>-2.2666666666666666</v>
      </c>
      <c r="I62" s="56"/>
      <c r="J62" s="128">
        <f t="shared" si="14"/>
        <v>0.1737623762376239</v>
      </c>
      <c r="K62" s="129">
        <f t="shared" si="6"/>
        <v>16.642450142450127</v>
      </c>
      <c r="L62" s="130">
        <f t="shared" si="7"/>
        <v>-3.5</v>
      </c>
      <c r="M62" s="6">
        <f t="shared" si="8"/>
        <v>9.38316831683169</v>
      </c>
      <c r="N62" s="6">
        <f t="shared" si="9"/>
        <v>5.361810466760966</v>
      </c>
      <c r="O62" s="6">
        <f t="shared" si="1"/>
        <v>4.021357850070723</v>
      </c>
      <c r="P62" s="130">
        <f t="shared" si="16"/>
        <v>0.8095238095238095</v>
      </c>
      <c r="Q62" s="6">
        <f t="shared" si="10"/>
        <v>516.5210749646396</v>
      </c>
      <c r="R62" s="130">
        <f t="shared" si="23"/>
        <v>5.480085697645398</v>
      </c>
      <c r="S62" s="130">
        <f t="shared" si="11"/>
        <v>0.927720692237291</v>
      </c>
      <c r="T62" s="140">
        <f t="shared" si="24"/>
        <v>50.096917380813714</v>
      </c>
      <c r="U62" s="143">
        <f t="shared" si="2"/>
        <v>43.47826086956522</v>
      </c>
      <c r="V62" s="6">
        <f t="shared" si="3"/>
        <v>258.7611361795264</v>
      </c>
      <c r="W62" s="6">
        <f t="shared" si="12"/>
        <v>416.52107496463964</v>
      </c>
      <c r="X62" s="6">
        <f t="shared" si="13"/>
        <v>9.579984724186712</v>
      </c>
      <c r="Y62" s="220">
        <f t="shared" si="4"/>
        <v>0</v>
      </c>
      <c r="Z62" s="60"/>
      <c r="AA62" s="4"/>
    </row>
    <row r="63" spans="1:27" ht="15.75" customHeight="1">
      <c r="A63" s="56"/>
      <c r="B63" s="62">
        <v>2</v>
      </c>
      <c r="C63" s="77">
        <f aca="true" t="shared" si="26" ref="C63:C81">C62+$D$58/20</f>
        <v>-0.2</v>
      </c>
      <c r="D63" s="101">
        <f>-(1-(1-C63/$D$58)^$F$58)*$G$58</f>
        <v>-0.43066666666666653</v>
      </c>
      <c r="E63" s="75">
        <f t="shared" si="25"/>
        <v>-0.7599999999999998</v>
      </c>
      <c r="F63" s="5"/>
      <c r="G63" s="76">
        <f>$D$58</f>
        <v>-2</v>
      </c>
      <c r="H63" s="102">
        <f>-C58/10</f>
        <v>-4</v>
      </c>
      <c r="I63" s="56"/>
      <c r="J63" s="128">
        <f t="shared" si="14"/>
        <v>0.17821782178217835</v>
      </c>
      <c r="K63" s="129">
        <f t="shared" si="6"/>
        <v>16.138888888888875</v>
      </c>
      <c r="L63" s="130">
        <f t="shared" si="7"/>
        <v>-3.5</v>
      </c>
      <c r="M63" s="6">
        <f t="shared" si="8"/>
        <v>9.62376237623763</v>
      </c>
      <c r="N63" s="6">
        <f t="shared" si="9"/>
        <v>5.499292786421503</v>
      </c>
      <c r="O63" s="6">
        <f t="shared" si="1"/>
        <v>4.124469589816128</v>
      </c>
      <c r="P63" s="130">
        <f t="shared" si="16"/>
        <v>0.8095238095238095</v>
      </c>
      <c r="Q63" s="6">
        <f t="shared" si="10"/>
        <v>529.7652050919381</v>
      </c>
      <c r="R63" s="130">
        <f t="shared" si="23"/>
        <v>5.620600715533742</v>
      </c>
      <c r="S63" s="130">
        <f t="shared" si="11"/>
        <v>0.9258673766536317</v>
      </c>
      <c r="T63" s="140">
        <f t="shared" si="24"/>
        <v>49.99683833929611</v>
      </c>
      <c r="U63" s="143">
        <f t="shared" si="2"/>
        <v>43.47826086956522</v>
      </c>
      <c r="V63" s="6">
        <f t="shared" si="3"/>
        <v>264.8658531676568</v>
      </c>
      <c r="W63" s="6">
        <f t="shared" si="12"/>
        <v>429.7652050919381</v>
      </c>
      <c r="X63" s="6">
        <f t="shared" si="13"/>
        <v>9.884599717114577</v>
      </c>
      <c r="Y63" s="220">
        <f t="shared" si="4"/>
        <v>0</v>
      </c>
      <c r="Z63" s="60"/>
      <c r="AA63" s="4"/>
    </row>
    <row r="64" spans="1:27" ht="15.75" customHeight="1">
      <c r="A64" s="56"/>
      <c r="B64" s="62">
        <v>3</v>
      </c>
      <c r="C64" s="77">
        <f t="shared" si="26"/>
        <v>-0.30000000000000004</v>
      </c>
      <c r="D64" s="101">
        <f aca="true" t="shared" si="27" ref="D64:D80">-(1-(1-C64/$D$58)^$F$58)*$G$58</f>
        <v>-0.6290000000000001</v>
      </c>
      <c r="E64" s="75">
        <f t="shared" si="25"/>
        <v>-1.1100000000000003</v>
      </c>
      <c r="F64" s="5"/>
      <c r="G64" s="5"/>
      <c r="H64" s="102"/>
      <c r="I64" s="56"/>
      <c r="J64" s="128">
        <f t="shared" si="14"/>
        <v>0.1826732673267328</v>
      </c>
      <c r="K64" s="129">
        <f t="shared" si="6"/>
        <v>15.659891598915975</v>
      </c>
      <c r="L64" s="130">
        <f t="shared" si="7"/>
        <v>-3.5</v>
      </c>
      <c r="M64" s="6">
        <f t="shared" si="8"/>
        <v>9.864356435643572</v>
      </c>
      <c r="N64" s="6">
        <f t="shared" si="9"/>
        <v>5.636775106082041</v>
      </c>
      <c r="O64" s="6">
        <f t="shared" si="1"/>
        <v>4.227581329561531</v>
      </c>
      <c r="P64" s="130">
        <f t="shared" si="16"/>
        <v>0.8095238095238095</v>
      </c>
      <c r="Q64" s="6">
        <f t="shared" si="10"/>
        <v>543.0093352192366</v>
      </c>
      <c r="R64" s="130">
        <f t="shared" si="23"/>
        <v>5.761115733422086</v>
      </c>
      <c r="S64" s="130">
        <f t="shared" si="11"/>
        <v>0.9240140610699725</v>
      </c>
      <c r="T64" s="140">
        <f t="shared" si="24"/>
        <v>49.896759297778516</v>
      </c>
      <c r="U64" s="143">
        <f t="shared" si="2"/>
        <v>43.47826086956522</v>
      </c>
      <c r="V64" s="6">
        <f t="shared" si="3"/>
        <v>270.94406095880976</v>
      </c>
      <c r="W64" s="6">
        <f t="shared" si="12"/>
        <v>443.0093352192366</v>
      </c>
      <c r="X64" s="6">
        <f t="shared" si="13"/>
        <v>10.189214710042442</v>
      </c>
      <c r="Y64" s="220">
        <f t="shared" si="4"/>
        <v>0</v>
      </c>
      <c r="Z64" s="60"/>
      <c r="AA64" s="4"/>
    </row>
    <row r="65" spans="1:27" ht="15.75" customHeight="1">
      <c r="A65" s="56"/>
      <c r="B65" s="62">
        <v>4</v>
      </c>
      <c r="C65" s="77">
        <f t="shared" si="26"/>
        <v>-0.4</v>
      </c>
      <c r="D65" s="101">
        <f t="shared" si="27"/>
        <v>-0.8159999999999997</v>
      </c>
      <c r="E65" s="75">
        <f t="shared" si="25"/>
        <v>-1.4399999999999995</v>
      </c>
      <c r="F65" s="5"/>
      <c r="G65" s="76">
        <f>$E$58</f>
        <v>-3.5</v>
      </c>
      <c r="H65" s="102">
        <v>0</v>
      </c>
      <c r="I65" s="56"/>
      <c r="J65" s="128">
        <f t="shared" si="14"/>
        <v>0.18712871287128727</v>
      </c>
      <c r="K65" s="129">
        <f t="shared" si="6"/>
        <v>15.203703703703688</v>
      </c>
      <c r="L65" s="130">
        <f t="shared" si="7"/>
        <v>-3.5</v>
      </c>
      <c r="M65" s="6">
        <f t="shared" si="8"/>
        <v>10.104950495049513</v>
      </c>
      <c r="N65" s="6">
        <f t="shared" si="9"/>
        <v>5.7742574257425785</v>
      </c>
      <c r="O65" s="6">
        <f t="shared" si="1"/>
        <v>4.3306930693069345</v>
      </c>
      <c r="P65" s="130">
        <f t="shared" si="16"/>
        <v>0.8095238095238095</v>
      </c>
      <c r="Q65" s="6">
        <f t="shared" si="10"/>
        <v>556.253465346535</v>
      </c>
      <c r="R65" s="130">
        <f aca="true" t="shared" si="28" ref="R65:R108">IF(O65=0,(0.5*M65^2+N65^2/($F$58+2)*(1-(1-M65/N65)^($F$58+2))+N65^2/($F$58+1)*(-1+(1-M65/N65)^($F$58+1)))/(M65+N65/($F$58+1)*(-1+(1-M65/N65)^($F$58+1))),(N65*(1/($F$58+2)-1/($F$58+1)+0.5*M65^2/N65^2)/(M65/N65-1/($F$58+1))))</f>
        <v>5.901630751310431</v>
      </c>
      <c r="S65" s="130">
        <f t="shared" si="11"/>
        <v>0.9221607454863132</v>
      </c>
      <c r="T65" s="140">
        <f aca="true" t="shared" si="29" ref="T65:T108">$M$4-M65+R65</f>
        <v>49.79668025626091</v>
      </c>
      <c r="U65" s="143">
        <f t="shared" si="2"/>
        <v>43.47826086956522</v>
      </c>
      <c r="V65" s="6">
        <f t="shared" si="3"/>
        <v>276.99575955298513</v>
      </c>
      <c r="W65" s="6">
        <f t="shared" si="12"/>
        <v>456.253465346535</v>
      </c>
      <c r="X65" s="6">
        <f t="shared" si="13"/>
        <v>10.493829702970304</v>
      </c>
      <c r="Y65" s="220">
        <f t="shared" si="4"/>
        <v>1</v>
      </c>
      <c r="Z65" s="60"/>
      <c r="AA65" s="4"/>
    </row>
    <row r="66" spans="1:27" ht="15.75" customHeight="1">
      <c r="A66" s="56"/>
      <c r="B66" s="62">
        <v>5</v>
      </c>
      <c r="C66" s="77">
        <f t="shared" si="26"/>
        <v>-0.5</v>
      </c>
      <c r="D66" s="101">
        <f t="shared" si="27"/>
        <v>-0.9916666666666667</v>
      </c>
      <c r="E66" s="75">
        <f t="shared" si="25"/>
        <v>-1.75</v>
      </c>
      <c r="F66" s="5"/>
      <c r="G66" s="76">
        <f>$E$58</f>
        <v>-3.5</v>
      </c>
      <c r="H66" s="102">
        <f>-G58</f>
        <v>-2.2666666666666666</v>
      </c>
      <c r="I66" s="56"/>
      <c r="J66" s="128">
        <f t="shared" si="14"/>
        <v>0.19158415841584173</v>
      </c>
      <c r="K66" s="129">
        <f t="shared" si="6"/>
        <v>14.768733850129186</v>
      </c>
      <c r="L66" s="130">
        <f t="shared" si="7"/>
        <v>-3.5</v>
      </c>
      <c r="M66" s="6">
        <f t="shared" si="8"/>
        <v>10.345544554455453</v>
      </c>
      <c r="N66" s="6">
        <f t="shared" si="9"/>
        <v>5.911739745403116</v>
      </c>
      <c r="O66" s="6">
        <f t="shared" si="1"/>
        <v>4.4338048090523365</v>
      </c>
      <c r="P66" s="130">
        <f t="shared" si="16"/>
        <v>0.8095238095238095</v>
      </c>
      <c r="Q66" s="6">
        <f t="shared" si="10"/>
        <v>569.4975954738335</v>
      </c>
      <c r="R66" s="130">
        <f t="shared" si="28"/>
        <v>6.042145769198772</v>
      </c>
      <c r="S66" s="130">
        <f t="shared" si="11"/>
        <v>0.9203074299026541</v>
      </c>
      <c r="T66" s="140">
        <f t="shared" si="29"/>
        <v>49.696601214743325</v>
      </c>
      <c r="U66" s="143">
        <f t="shared" si="2"/>
        <v>43.47826086956522</v>
      </c>
      <c r="V66" s="6">
        <f t="shared" si="3"/>
        <v>283.02094895018314</v>
      </c>
      <c r="W66" s="6">
        <f t="shared" si="12"/>
        <v>469.4975954738335</v>
      </c>
      <c r="X66" s="6">
        <f t="shared" si="13"/>
        <v>10.79844469589817</v>
      </c>
      <c r="Y66" s="220">
        <f t="shared" si="4"/>
        <v>1</v>
      </c>
      <c r="Z66" s="60"/>
      <c r="AA66" s="4"/>
    </row>
    <row r="67" spans="1:27" ht="15.75" customHeight="1">
      <c r="A67" s="56"/>
      <c r="B67" s="62">
        <v>6</v>
      </c>
      <c r="C67" s="77">
        <f t="shared" si="26"/>
        <v>-0.6</v>
      </c>
      <c r="D67" s="101">
        <f t="shared" si="27"/>
        <v>-1.156</v>
      </c>
      <c r="E67" s="75">
        <f t="shared" si="25"/>
        <v>-2.04</v>
      </c>
      <c r="F67" s="5"/>
      <c r="G67" s="76">
        <f>$E$58</f>
        <v>-3.5</v>
      </c>
      <c r="H67" s="102">
        <f>-C58/10</f>
        <v>-4</v>
      </c>
      <c r="I67" s="56"/>
      <c r="J67" s="128">
        <f t="shared" si="14"/>
        <v>0.19603960396039619</v>
      </c>
      <c r="K67" s="129">
        <f t="shared" si="6"/>
        <v>14.35353535353534</v>
      </c>
      <c r="L67" s="130">
        <f t="shared" si="7"/>
        <v>-3.5</v>
      </c>
      <c r="M67" s="6">
        <f t="shared" si="8"/>
        <v>10.586138613861394</v>
      </c>
      <c r="N67" s="6">
        <f t="shared" si="9"/>
        <v>6.0492220650636535</v>
      </c>
      <c r="O67" s="6">
        <f t="shared" si="1"/>
        <v>4.53691654879774</v>
      </c>
      <c r="P67" s="130">
        <f t="shared" si="16"/>
        <v>0.8095238095238095</v>
      </c>
      <c r="Q67" s="6">
        <f t="shared" si="10"/>
        <v>582.7417256011321</v>
      </c>
      <c r="R67" s="130">
        <f t="shared" si="28"/>
        <v>6.182660787087117</v>
      </c>
      <c r="S67" s="130">
        <f t="shared" si="11"/>
        <v>0.9184541143189948</v>
      </c>
      <c r="T67" s="140">
        <f t="shared" si="29"/>
        <v>49.59652217322572</v>
      </c>
      <c r="U67" s="143">
        <f t="shared" si="2"/>
        <v>43.47826086956522</v>
      </c>
      <c r="V67" s="6">
        <f t="shared" si="3"/>
        <v>289.01962915040366</v>
      </c>
      <c r="W67" s="6">
        <f t="shared" si="12"/>
        <v>482.7417256011321</v>
      </c>
      <c r="X67" s="6">
        <f t="shared" si="13"/>
        <v>11.103059688826038</v>
      </c>
      <c r="Y67" s="220">
        <f t="shared" si="4"/>
        <v>1</v>
      </c>
      <c r="Z67" s="60"/>
      <c r="AA67" s="4"/>
    </row>
    <row r="68" spans="1:27" ht="15.75" customHeight="1">
      <c r="A68" s="56"/>
      <c r="B68" s="62">
        <v>7</v>
      </c>
      <c r="C68" s="77">
        <f t="shared" si="26"/>
        <v>-0.7</v>
      </c>
      <c r="D68" s="101">
        <f t="shared" si="27"/>
        <v>-1.3089999999999997</v>
      </c>
      <c r="E68" s="75">
        <f t="shared" si="25"/>
        <v>-2.3099999999999996</v>
      </c>
      <c r="F68" s="5"/>
      <c r="G68" s="5"/>
      <c r="H68" s="71"/>
      <c r="I68" s="56"/>
      <c r="J68" s="128">
        <f t="shared" si="14"/>
        <v>0.20049504950495065</v>
      </c>
      <c r="K68" s="77">
        <f t="shared" si="6"/>
        <v>13.956790123456775</v>
      </c>
      <c r="L68" s="122">
        <f t="shared" si="7"/>
        <v>-3.5</v>
      </c>
      <c r="M68" s="6">
        <f t="shared" si="8"/>
        <v>10.826732673267335</v>
      </c>
      <c r="N68" s="6">
        <f t="shared" si="9"/>
        <v>6.186704384724192</v>
      </c>
      <c r="O68" s="6">
        <f t="shared" si="1"/>
        <v>4.640028288543143</v>
      </c>
      <c r="P68" s="130">
        <f t="shared" si="16"/>
        <v>0.8095238095238095</v>
      </c>
      <c r="Q68" s="6">
        <f>M68*P68*BOben*$G$58</f>
        <v>595.9858557284305</v>
      </c>
      <c r="R68" s="130">
        <f t="shared" si="28"/>
        <v>6.3231758049754605</v>
      </c>
      <c r="S68" s="130">
        <f t="shared" si="11"/>
        <v>0.9166007987353356</v>
      </c>
      <c r="T68" s="140">
        <f t="shared" si="29"/>
        <v>49.496443131708126</v>
      </c>
      <c r="U68" s="143">
        <f t="shared" si="2"/>
        <v>43.47826086956522</v>
      </c>
      <c r="V68" s="6">
        <f>Q68*T68/100</f>
        <v>294.99180015364664</v>
      </c>
      <c r="W68" s="6">
        <f t="shared" si="12"/>
        <v>495.98585572843047</v>
      </c>
      <c r="X68" s="6">
        <f t="shared" si="13"/>
        <v>11.4076746817539</v>
      </c>
      <c r="Y68" s="220">
        <f t="shared" si="4"/>
        <v>1</v>
      </c>
      <c r="Z68" s="60"/>
      <c r="AA68" s="4"/>
    </row>
    <row r="69" spans="1:27" ht="15.75" customHeight="1">
      <c r="A69" s="56"/>
      <c r="B69" s="62">
        <v>8</v>
      </c>
      <c r="C69" s="77">
        <f t="shared" si="26"/>
        <v>-0.7999999999999999</v>
      </c>
      <c r="D69" s="101">
        <f t="shared" si="27"/>
        <v>-1.4506666666666663</v>
      </c>
      <c r="E69" s="75">
        <f t="shared" si="25"/>
        <v>-2.5599999999999996</v>
      </c>
      <c r="F69" s="5"/>
      <c r="G69" s="5"/>
      <c r="H69" s="71"/>
      <c r="I69" s="56"/>
      <c r="J69" s="128">
        <f t="shared" si="14"/>
        <v>0.2049504950495051</v>
      </c>
      <c r="K69" s="129">
        <f t="shared" si="6"/>
        <v>13.577294685990326</v>
      </c>
      <c r="L69" s="130">
        <f t="shared" si="7"/>
        <v>-3.5</v>
      </c>
      <c r="M69" s="6">
        <f t="shared" si="8"/>
        <v>11.067326732673276</v>
      </c>
      <c r="N69" s="6">
        <f t="shared" si="9"/>
        <v>6.324186704384728</v>
      </c>
      <c r="O69" s="6">
        <f t="shared" si="1"/>
        <v>4.743140028288548</v>
      </c>
      <c r="P69" s="130">
        <f t="shared" si="16"/>
        <v>0.8095238095238095</v>
      </c>
      <c r="Q69" s="6">
        <f>M69*P69*BOben*$G$58</f>
        <v>609.229985855729</v>
      </c>
      <c r="R69" s="130">
        <f t="shared" si="28"/>
        <v>6.463690822863804</v>
      </c>
      <c r="S69" s="130">
        <f t="shared" si="11"/>
        <v>0.9147474831516763</v>
      </c>
      <c r="T69" s="140">
        <f t="shared" si="29"/>
        <v>49.396364090190524</v>
      </c>
      <c r="U69" s="143">
        <f t="shared" si="2"/>
        <v>43.47826086956522</v>
      </c>
      <c r="V69" s="6">
        <f>Q69*T69/100</f>
        <v>300.9374619599121</v>
      </c>
      <c r="W69" s="6">
        <f t="shared" si="12"/>
        <v>509.22998585572896</v>
      </c>
      <c r="X69" s="6">
        <f t="shared" si="13"/>
        <v>11.712289674681765</v>
      </c>
      <c r="Y69" s="220">
        <f t="shared" si="4"/>
        <v>1</v>
      </c>
      <c r="Z69" s="60"/>
      <c r="AA69" s="4"/>
    </row>
    <row r="70" spans="1:27" ht="15.75" customHeight="1">
      <c r="A70" s="56"/>
      <c r="B70" s="62">
        <v>9</v>
      </c>
      <c r="C70" s="77">
        <f t="shared" si="26"/>
        <v>-0.8999999999999999</v>
      </c>
      <c r="D70" s="101">
        <f t="shared" si="27"/>
        <v>-1.581</v>
      </c>
      <c r="E70" s="75">
        <f t="shared" si="25"/>
        <v>-2.79</v>
      </c>
      <c r="F70" s="5"/>
      <c r="G70" s="5" t="s">
        <v>97</v>
      </c>
      <c r="H70" s="71"/>
      <c r="I70" s="56"/>
      <c r="J70" s="128">
        <f t="shared" si="14"/>
        <v>0.20940594059405956</v>
      </c>
      <c r="K70" s="129">
        <f t="shared" si="6"/>
        <v>13.213947990543723</v>
      </c>
      <c r="L70" s="130">
        <f t="shared" si="7"/>
        <v>-3.5</v>
      </c>
      <c r="M70" s="6">
        <f t="shared" si="8"/>
        <v>11.307920792079216</v>
      </c>
      <c r="N70" s="6">
        <f t="shared" si="9"/>
        <v>6.461669024045267</v>
      </c>
      <c r="O70" s="6">
        <f t="shared" si="1"/>
        <v>4.846251768033949</v>
      </c>
      <c r="P70" s="130">
        <f t="shared" si="16"/>
        <v>0.8095238095238095</v>
      </c>
      <c r="Q70" s="6">
        <f t="shared" si="10"/>
        <v>622.4741159830272</v>
      </c>
      <c r="R70" s="130">
        <f t="shared" si="28"/>
        <v>6.604205840752147</v>
      </c>
      <c r="S70" s="130">
        <f t="shared" si="11"/>
        <v>0.9128941675680172</v>
      </c>
      <c r="T70" s="140">
        <f t="shared" si="29"/>
        <v>49.29628504867293</v>
      </c>
      <c r="U70" s="143">
        <f t="shared" si="2"/>
        <v>43.47826086956522</v>
      </c>
      <c r="V70" s="6">
        <f>Q70*T70/100</f>
        <v>306.8566145692</v>
      </c>
      <c r="W70" s="6">
        <f t="shared" si="12"/>
        <v>522.4741159830272</v>
      </c>
      <c r="X70" s="6">
        <f t="shared" si="13"/>
        <v>12.016904667609627</v>
      </c>
      <c r="Y70" s="220">
        <f t="shared" si="4"/>
        <v>1</v>
      </c>
      <c r="Z70" s="60"/>
      <c r="AA70" s="4"/>
    </row>
    <row r="71" spans="1:27" ht="15.75" customHeight="1">
      <c r="A71" s="56"/>
      <c r="B71" s="62">
        <v>10</v>
      </c>
      <c r="C71" s="77">
        <f t="shared" si="26"/>
        <v>-0.9999999999999999</v>
      </c>
      <c r="D71" s="101">
        <f t="shared" si="27"/>
        <v>-1.7</v>
      </c>
      <c r="E71" s="75">
        <f t="shared" si="25"/>
        <v>-3</v>
      </c>
      <c r="F71" s="5"/>
      <c r="G71" s="73" t="s">
        <v>98</v>
      </c>
      <c r="H71" s="74" t="s">
        <v>99</v>
      </c>
      <c r="I71" s="56"/>
      <c r="J71" s="128">
        <f t="shared" si="14"/>
        <v>0.21386138613861402</v>
      </c>
      <c r="K71" s="129">
        <f t="shared" si="6"/>
        <v>12.865740740740728</v>
      </c>
      <c r="L71" s="130">
        <f t="shared" si="7"/>
        <v>-3.5</v>
      </c>
      <c r="M71" s="6">
        <f t="shared" si="8"/>
        <v>11.548514851485157</v>
      </c>
      <c r="N71" s="6">
        <f t="shared" si="9"/>
        <v>6.599151343705804</v>
      </c>
      <c r="O71" s="6">
        <f t="shared" si="1"/>
        <v>4.949363507779353</v>
      </c>
      <c r="P71" s="130">
        <f t="shared" si="16"/>
        <v>0.8095238095238095</v>
      </c>
      <c r="Q71" s="6">
        <f t="shared" si="10"/>
        <v>635.7182461103257</v>
      </c>
      <c r="R71" s="130">
        <f t="shared" si="28"/>
        <v>6.744720858640491</v>
      </c>
      <c r="S71" s="130">
        <f t="shared" si="11"/>
        <v>0.911040851984358</v>
      </c>
      <c r="T71" s="140">
        <f t="shared" si="29"/>
        <v>49.19620600715533</v>
      </c>
      <c r="U71" s="143">
        <f t="shared" si="2"/>
        <v>43.47826086956522</v>
      </c>
      <c r="V71" s="6">
        <f t="shared" si="3"/>
        <v>312.74925798151054</v>
      </c>
      <c r="W71" s="6">
        <f t="shared" si="12"/>
        <v>535.7182461103257</v>
      </c>
      <c r="X71" s="6">
        <f t="shared" si="13"/>
        <v>12.321519660537492</v>
      </c>
      <c r="Y71" s="220">
        <f t="shared" si="4"/>
        <v>1</v>
      </c>
      <c r="Z71" s="60"/>
      <c r="AA71" s="4"/>
    </row>
    <row r="72" spans="1:27" ht="15.75" customHeight="1">
      <c r="A72" s="56"/>
      <c r="B72" s="62">
        <v>11</v>
      </c>
      <c r="C72" s="77">
        <f t="shared" si="26"/>
        <v>-1.0999999999999999</v>
      </c>
      <c r="D72" s="101">
        <f t="shared" si="27"/>
        <v>-1.8076666666666663</v>
      </c>
      <c r="E72" s="75">
        <f t="shared" si="25"/>
        <v>-3.1899999999999995</v>
      </c>
      <c r="F72" s="5"/>
      <c r="G72" s="77">
        <v>0</v>
      </c>
      <c r="H72" s="85">
        <v>0</v>
      </c>
      <c r="I72" s="56"/>
      <c r="J72" s="128">
        <f t="shared" si="14"/>
        <v>0.21831683168316848</v>
      </c>
      <c r="K72" s="129">
        <f t="shared" si="6"/>
        <v>12.53174603174602</v>
      </c>
      <c r="L72" s="130">
        <f t="shared" si="7"/>
        <v>-3.5</v>
      </c>
      <c r="M72" s="6">
        <f t="shared" si="8"/>
        <v>11.789108910891098</v>
      </c>
      <c r="N72" s="6">
        <f t="shared" si="9"/>
        <v>6.736633663366342</v>
      </c>
      <c r="O72" s="6">
        <f t="shared" si="1"/>
        <v>5.0524752475247565</v>
      </c>
      <c r="P72" s="130">
        <f t="shared" si="16"/>
        <v>0.8095238095238095</v>
      </c>
      <c r="Q72" s="6">
        <f t="shared" si="10"/>
        <v>648.9623762376243</v>
      </c>
      <c r="R72" s="130">
        <f t="shared" si="28"/>
        <v>6.885235876528833</v>
      </c>
      <c r="S72" s="130">
        <f t="shared" si="11"/>
        <v>0.9091875364006987</v>
      </c>
      <c r="T72" s="140">
        <f t="shared" si="29"/>
        <v>49.09612696563773</v>
      </c>
      <c r="U72" s="143">
        <f t="shared" si="2"/>
        <v>43.47826086956522</v>
      </c>
      <c r="V72" s="6">
        <f t="shared" si="3"/>
        <v>318.61539219684363</v>
      </c>
      <c r="W72" s="6">
        <f t="shared" si="12"/>
        <v>548.9623762376243</v>
      </c>
      <c r="X72" s="6">
        <f t="shared" si="13"/>
        <v>12.626134653465359</v>
      </c>
      <c r="Y72" s="220">
        <f t="shared" si="4"/>
        <v>1</v>
      </c>
      <c r="Z72" s="60"/>
      <c r="AA72" s="4"/>
    </row>
    <row r="73" spans="1:27" ht="15.75" customHeight="1">
      <c r="A73" s="56"/>
      <c r="B73" s="62">
        <v>12</v>
      </c>
      <c r="C73" s="77">
        <f t="shared" si="26"/>
        <v>-1.2</v>
      </c>
      <c r="D73" s="101">
        <f t="shared" si="27"/>
        <v>-1.904</v>
      </c>
      <c r="E73" s="75">
        <f t="shared" si="25"/>
        <v>-3.3600000000000003</v>
      </c>
      <c r="F73" s="5"/>
      <c r="G73" s="77">
        <f>G15</f>
        <v>0.0025</v>
      </c>
      <c r="H73" s="85">
        <f>C15</f>
        <v>50</v>
      </c>
      <c r="I73" s="56"/>
      <c r="J73" s="128">
        <f t="shared" si="14"/>
        <v>0.22277227722772294</v>
      </c>
      <c r="K73" s="129">
        <f t="shared" si="6"/>
        <v>12.211111111111098</v>
      </c>
      <c r="L73" s="130">
        <f t="shared" si="7"/>
        <v>-3.5</v>
      </c>
      <c r="M73" s="6">
        <f t="shared" si="8"/>
        <v>12.02970297029704</v>
      </c>
      <c r="N73" s="6">
        <f t="shared" si="9"/>
        <v>6.87411598302688</v>
      </c>
      <c r="O73" s="6">
        <f t="shared" si="1"/>
        <v>5.155586987270159</v>
      </c>
      <c r="P73" s="130">
        <f t="shared" si="16"/>
        <v>0.8095238095238095</v>
      </c>
      <c r="Q73" s="6">
        <f t="shared" si="10"/>
        <v>662.2065063649227</v>
      </c>
      <c r="R73" s="130">
        <f t="shared" si="28"/>
        <v>7.025750894417177</v>
      </c>
      <c r="S73" s="130">
        <f t="shared" si="11"/>
        <v>0.9073342208170396</v>
      </c>
      <c r="T73" s="140">
        <f t="shared" si="29"/>
        <v>48.99604792412014</v>
      </c>
      <c r="U73" s="143">
        <f t="shared" si="2"/>
        <v>43.47826086956522</v>
      </c>
      <c r="V73" s="6">
        <f t="shared" si="3"/>
        <v>324.45501721519923</v>
      </c>
      <c r="W73" s="6">
        <f t="shared" si="12"/>
        <v>562.2065063649227</v>
      </c>
      <c r="X73" s="6">
        <f t="shared" si="13"/>
        <v>12.930749646393222</v>
      </c>
      <c r="Y73" s="220">
        <f t="shared" si="4"/>
        <v>1</v>
      </c>
      <c r="Z73" s="60"/>
      <c r="AA73" s="4"/>
    </row>
    <row r="74" spans="1:27" ht="15.75" customHeight="1">
      <c r="A74" s="56"/>
      <c r="B74" s="62">
        <v>13</v>
      </c>
      <c r="C74" s="77">
        <f t="shared" si="26"/>
        <v>-1.3</v>
      </c>
      <c r="D74" s="101">
        <f t="shared" si="27"/>
        <v>-1.989</v>
      </c>
      <c r="E74" s="75">
        <f t="shared" si="25"/>
        <v>-3.5100000000000002</v>
      </c>
      <c r="F74" s="5"/>
      <c r="G74" s="77">
        <f>H13</f>
        <v>0.025</v>
      </c>
      <c r="H74" s="85">
        <f>D15</f>
        <v>52.5</v>
      </c>
      <c r="I74" s="56"/>
      <c r="J74" s="128">
        <f t="shared" si="14"/>
        <v>0.2272277227722774</v>
      </c>
      <c r="K74" s="129">
        <f t="shared" si="6"/>
        <v>11.903050108932451</v>
      </c>
      <c r="L74" s="130">
        <f t="shared" si="7"/>
        <v>-3.5</v>
      </c>
      <c r="M74" s="6">
        <f t="shared" si="8"/>
        <v>12.270297029702979</v>
      </c>
      <c r="N74" s="6">
        <f t="shared" si="9"/>
        <v>7.011598302687417</v>
      </c>
      <c r="O74" s="6">
        <f t="shared" si="1"/>
        <v>5.258698727015562</v>
      </c>
      <c r="P74" s="130">
        <f t="shared" si="16"/>
        <v>0.8095238095238095</v>
      </c>
      <c r="Q74" s="6">
        <f t="shared" si="10"/>
        <v>675.4506364922212</v>
      </c>
      <c r="R74" s="130">
        <f t="shared" si="28"/>
        <v>7.166265912305521</v>
      </c>
      <c r="S74" s="130">
        <f t="shared" si="11"/>
        <v>0.9054809052333803</v>
      </c>
      <c r="T74" s="140">
        <f t="shared" si="29"/>
        <v>48.89596888260254</v>
      </c>
      <c r="U74" s="143">
        <f t="shared" si="2"/>
        <v>43.47826086956522</v>
      </c>
      <c r="V74" s="6">
        <f t="shared" si="3"/>
        <v>330.2681330365773</v>
      </c>
      <c r="W74" s="6">
        <f t="shared" si="12"/>
        <v>575.4506364922212</v>
      </c>
      <c r="X74" s="6">
        <f t="shared" si="13"/>
        <v>13.235364639321087</v>
      </c>
      <c r="Y74" s="220">
        <f t="shared" si="4"/>
        <v>1</v>
      </c>
      <c r="Z74" s="60"/>
      <c r="AA74" s="4"/>
    </row>
    <row r="75" spans="1:27" ht="15.75" customHeight="1">
      <c r="A75" s="56"/>
      <c r="B75" s="62">
        <v>14</v>
      </c>
      <c r="C75" s="77">
        <f t="shared" si="26"/>
        <v>-1.4000000000000001</v>
      </c>
      <c r="D75" s="101">
        <f t="shared" si="27"/>
        <v>-2.062666666666667</v>
      </c>
      <c r="E75" s="75">
        <f t="shared" si="25"/>
        <v>-3.6399999999999997</v>
      </c>
      <c r="F75" s="5"/>
      <c r="G75" s="75"/>
      <c r="H75" s="78"/>
      <c r="I75" s="56"/>
      <c r="J75" s="128">
        <f t="shared" si="14"/>
        <v>0.23168316831683186</v>
      </c>
      <c r="K75" s="129">
        <f t="shared" si="6"/>
        <v>11.606837606837594</v>
      </c>
      <c r="L75" s="130">
        <f t="shared" si="7"/>
        <v>-3.5</v>
      </c>
      <c r="M75" s="6">
        <f t="shared" si="8"/>
        <v>12.51089108910892</v>
      </c>
      <c r="N75" s="6">
        <f t="shared" si="9"/>
        <v>7.149080622347955</v>
      </c>
      <c r="O75" s="6">
        <f t="shared" si="1"/>
        <v>5.361810466760965</v>
      </c>
      <c r="P75" s="130">
        <f t="shared" si="16"/>
        <v>0.8095238095238095</v>
      </c>
      <c r="Q75" s="6">
        <f t="shared" si="10"/>
        <v>688.6947666195197</v>
      </c>
      <c r="R75" s="130">
        <f t="shared" si="28"/>
        <v>7.306780930193866</v>
      </c>
      <c r="S75" s="130">
        <f t="shared" si="11"/>
        <v>0.9036275896497211</v>
      </c>
      <c r="T75" s="140">
        <f t="shared" si="29"/>
        <v>48.79588984108494</v>
      </c>
      <c r="U75" s="143">
        <f t="shared" si="2"/>
        <v>43.47826086956522</v>
      </c>
      <c r="V75" s="6">
        <f t="shared" si="3"/>
        <v>336.0547396609779</v>
      </c>
      <c r="W75" s="6">
        <f t="shared" si="12"/>
        <v>588.6947666195197</v>
      </c>
      <c r="X75" s="6">
        <f t="shared" si="13"/>
        <v>13.539979632248953</v>
      </c>
      <c r="Y75" s="220">
        <f t="shared" si="4"/>
        <v>1</v>
      </c>
      <c r="Z75" s="60"/>
      <c r="AA75" s="4"/>
    </row>
    <row r="76" spans="1:27" ht="15.75" customHeight="1">
      <c r="A76" s="56"/>
      <c r="B76" s="62">
        <v>15</v>
      </c>
      <c r="C76" s="77">
        <f t="shared" si="26"/>
        <v>-1.5000000000000002</v>
      </c>
      <c r="D76" s="101">
        <f t="shared" si="27"/>
        <v>-2.125</v>
      </c>
      <c r="E76" s="75">
        <f t="shared" si="25"/>
        <v>-3.75</v>
      </c>
      <c r="F76" s="5"/>
      <c r="G76" s="5" t="s">
        <v>100</v>
      </c>
      <c r="H76" s="71"/>
      <c r="I76" s="56"/>
      <c r="J76" s="128">
        <f t="shared" si="14"/>
        <v>0.23613861386138632</v>
      </c>
      <c r="K76" s="129">
        <f t="shared" si="6"/>
        <v>11.32180293501047</v>
      </c>
      <c r="L76" s="130">
        <f t="shared" si="7"/>
        <v>-3.5</v>
      </c>
      <c r="M76" s="6">
        <f t="shared" si="8"/>
        <v>12.751485148514861</v>
      </c>
      <c r="N76" s="6">
        <f t="shared" si="9"/>
        <v>7.2865629420084925</v>
      </c>
      <c r="O76" s="6">
        <f t="shared" si="1"/>
        <v>5.464922206506369</v>
      </c>
      <c r="P76" s="130">
        <f t="shared" si="16"/>
        <v>0.8095238095238095</v>
      </c>
      <c r="Q76" s="6">
        <f t="shared" si="10"/>
        <v>701.938896746818</v>
      </c>
      <c r="R76" s="130">
        <f t="shared" si="28"/>
        <v>7.44729594808221</v>
      </c>
      <c r="S76" s="130">
        <f t="shared" si="11"/>
        <v>0.901774274066062</v>
      </c>
      <c r="T76" s="140">
        <f t="shared" si="29"/>
        <v>48.69581079956735</v>
      </c>
      <c r="U76" s="143">
        <f t="shared" si="2"/>
        <v>43.47826086956522</v>
      </c>
      <c r="V76" s="6">
        <f t="shared" si="3"/>
        <v>341.8148370884009</v>
      </c>
      <c r="W76" s="6">
        <f t="shared" si="12"/>
        <v>601.938896746818</v>
      </c>
      <c r="X76" s="6">
        <f t="shared" si="13"/>
        <v>13.844594625176814</v>
      </c>
      <c r="Y76" s="220">
        <f t="shared" si="4"/>
        <v>1</v>
      </c>
      <c r="Z76" s="60"/>
      <c r="AA76" s="4"/>
    </row>
    <row r="77" spans="1:27" ht="15.75" customHeight="1">
      <c r="A77" s="56"/>
      <c r="B77" s="62">
        <v>16</v>
      </c>
      <c r="C77" s="77">
        <f t="shared" si="26"/>
        <v>-1.6000000000000003</v>
      </c>
      <c r="D77" s="101">
        <f t="shared" si="27"/>
        <v>-2.176</v>
      </c>
      <c r="E77" s="75">
        <f t="shared" si="25"/>
        <v>-3.8400000000000007</v>
      </c>
      <c r="F77" s="5"/>
      <c r="G77" s="73" t="s">
        <v>98</v>
      </c>
      <c r="H77" s="74" t="s">
        <v>99</v>
      </c>
      <c r="I77" s="56"/>
      <c r="J77" s="128">
        <f t="shared" si="14"/>
        <v>0.24059405940594078</v>
      </c>
      <c r="K77" s="129">
        <f t="shared" si="6"/>
        <v>11.047325102880647</v>
      </c>
      <c r="L77" s="130">
        <f t="shared" si="7"/>
        <v>-3.5</v>
      </c>
      <c r="M77" s="6">
        <f t="shared" si="8"/>
        <v>12.992079207920803</v>
      </c>
      <c r="N77" s="6">
        <f t="shared" si="9"/>
        <v>7.424045261669029</v>
      </c>
      <c r="O77" s="6">
        <f t="shared" si="1"/>
        <v>5.568033946251774</v>
      </c>
      <c r="P77" s="130">
        <f t="shared" si="16"/>
        <v>0.8095238095238095</v>
      </c>
      <c r="Q77" s="6">
        <f t="shared" si="10"/>
        <v>715.1830268741165</v>
      </c>
      <c r="R77" s="130">
        <f t="shared" si="28"/>
        <v>7.5878109659705535</v>
      </c>
      <c r="S77" s="130">
        <f t="shared" si="11"/>
        <v>0.8999209584824028</v>
      </c>
      <c r="T77" s="140">
        <f t="shared" si="29"/>
        <v>48.59573175804975</v>
      </c>
      <c r="U77" s="143">
        <f t="shared" si="2"/>
        <v>43.47826086956522</v>
      </c>
      <c r="V77" s="6">
        <f t="shared" si="3"/>
        <v>347.54842531884657</v>
      </c>
      <c r="W77" s="6">
        <f t="shared" si="12"/>
        <v>615.1830268741165</v>
      </c>
      <c r="X77" s="6">
        <f t="shared" si="13"/>
        <v>14.14920961810468</v>
      </c>
      <c r="Y77" s="220">
        <f t="shared" si="4"/>
        <v>1</v>
      </c>
      <c r="Z77" s="60"/>
      <c r="AA77" s="4"/>
    </row>
    <row r="78" spans="1:27" ht="15.75" customHeight="1">
      <c r="A78" s="56"/>
      <c r="B78" s="62">
        <v>17</v>
      </c>
      <c r="C78" s="77">
        <f t="shared" si="26"/>
        <v>-1.7000000000000004</v>
      </c>
      <c r="D78" s="101">
        <f t="shared" si="27"/>
        <v>-2.215666666666667</v>
      </c>
      <c r="E78" s="75">
        <f t="shared" si="25"/>
        <v>-3.91</v>
      </c>
      <c r="F78" s="5"/>
      <c r="G78" s="77">
        <v>0</v>
      </c>
      <c r="H78" s="85">
        <v>0</v>
      </c>
      <c r="I78" s="56"/>
      <c r="J78" s="128">
        <f t="shared" si="14"/>
        <v>0.24504950495049524</v>
      </c>
      <c r="K78" s="129">
        <f t="shared" si="6"/>
        <v>10.782828282828271</v>
      </c>
      <c r="L78" s="130">
        <f t="shared" si="7"/>
        <v>-3.5</v>
      </c>
      <c r="M78" s="6">
        <f t="shared" si="8"/>
        <v>13.232673267326742</v>
      </c>
      <c r="N78" s="6">
        <f t="shared" si="9"/>
        <v>7.5615275813295675</v>
      </c>
      <c r="O78" s="6">
        <f t="shared" si="1"/>
        <v>5.671145685997175</v>
      </c>
      <c r="P78" s="130">
        <f t="shared" si="16"/>
        <v>0.8095238095238095</v>
      </c>
      <c r="Q78" s="6">
        <f t="shared" si="10"/>
        <v>728.4271570014149</v>
      </c>
      <c r="R78" s="130">
        <f t="shared" si="28"/>
        <v>7.7283259838588965</v>
      </c>
      <c r="S78" s="130">
        <f t="shared" si="11"/>
        <v>0.8980676428987435</v>
      </c>
      <c r="T78" s="140">
        <f t="shared" si="29"/>
        <v>48.49565271653215</v>
      </c>
      <c r="U78" s="143">
        <f t="shared" si="2"/>
        <v>43.47826086956522</v>
      </c>
      <c r="V78" s="6">
        <f t="shared" si="3"/>
        <v>353.2555043523146</v>
      </c>
      <c r="W78" s="6">
        <f t="shared" si="12"/>
        <v>628.4271570014149</v>
      </c>
      <c r="X78" s="6">
        <f t="shared" si="13"/>
        <v>14.453824611032543</v>
      </c>
      <c r="Y78" s="220">
        <f t="shared" si="4"/>
        <v>1</v>
      </c>
      <c r="Z78" s="60"/>
      <c r="AA78" s="4"/>
    </row>
    <row r="79" spans="1:27" ht="15.75" customHeight="1">
      <c r="A79" s="56"/>
      <c r="B79" s="62">
        <v>18</v>
      </c>
      <c r="C79" s="77">
        <f t="shared" si="26"/>
        <v>-1.8000000000000005</v>
      </c>
      <c r="D79" s="101">
        <f t="shared" si="27"/>
        <v>-2.244</v>
      </c>
      <c r="E79" s="75">
        <f t="shared" si="25"/>
        <v>-3.96</v>
      </c>
      <c r="F79" s="5"/>
      <c r="G79" s="77">
        <f>H15</f>
        <v>0.002173913043478261</v>
      </c>
      <c r="H79" s="85">
        <f>E15</f>
        <v>43.47826086956522</v>
      </c>
      <c r="I79" s="56"/>
      <c r="J79" s="128">
        <f t="shared" si="14"/>
        <v>0.2495049504950497</v>
      </c>
      <c r="K79" s="129">
        <f t="shared" si="6"/>
        <v>10.527777777777766</v>
      </c>
      <c r="L79" s="130">
        <f t="shared" si="7"/>
        <v>-3.5</v>
      </c>
      <c r="M79" s="6">
        <f t="shared" si="8"/>
        <v>13.473267326732683</v>
      </c>
      <c r="N79" s="6">
        <f t="shared" si="9"/>
        <v>7.699009900990106</v>
      </c>
      <c r="O79" s="6">
        <f t="shared" si="1"/>
        <v>5.774257425742578</v>
      </c>
      <c r="P79" s="130">
        <f t="shared" si="16"/>
        <v>0.8095238095238095</v>
      </c>
      <c r="Q79" s="6">
        <f t="shared" si="10"/>
        <v>741.6712871287134</v>
      </c>
      <c r="R79" s="130">
        <f t="shared" si="28"/>
        <v>7.868841001747239</v>
      </c>
      <c r="S79" s="130">
        <f t="shared" si="11"/>
        <v>0.8962143273150844</v>
      </c>
      <c r="T79" s="140">
        <f t="shared" si="29"/>
        <v>48.39557367501456</v>
      </c>
      <c r="U79" s="143">
        <f t="shared" si="2"/>
        <v>43.47826086956522</v>
      </c>
      <c r="V79" s="6">
        <f t="shared" si="3"/>
        <v>358.93607418880526</v>
      </c>
      <c r="W79" s="6">
        <f t="shared" si="12"/>
        <v>641.6712871287134</v>
      </c>
      <c r="X79" s="6">
        <f t="shared" si="13"/>
        <v>14.758439603960408</v>
      </c>
      <c r="Y79" s="220">
        <f t="shared" si="4"/>
        <v>1</v>
      </c>
      <c r="Z79" s="60"/>
      <c r="AA79" s="4"/>
    </row>
    <row r="80" spans="1:27" ht="15.75" customHeight="1">
      <c r="A80" s="56"/>
      <c r="B80" s="62">
        <v>19</v>
      </c>
      <c r="C80" s="77">
        <f t="shared" si="26"/>
        <v>-1.9000000000000006</v>
      </c>
      <c r="D80" s="101">
        <f t="shared" si="27"/>
        <v>-2.261</v>
      </c>
      <c r="E80" s="75">
        <f t="shared" si="25"/>
        <v>-3.9900000000000007</v>
      </c>
      <c r="F80" s="5"/>
      <c r="G80" s="77">
        <f>H13</f>
        <v>0.025</v>
      </c>
      <c r="H80" s="85">
        <f>F15</f>
        <v>43.47826086956522</v>
      </c>
      <c r="I80" s="56"/>
      <c r="J80" s="128">
        <f t="shared" si="14"/>
        <v>0.25396039603960413</v>
      </c>
      <c r="K80" s="129">
        <f t="shared" si="6"/>
        <v>10.28167641325535</v>
      </c>
      <c r="L80" s="130">
        <f t="shared" si="7"/>
        <v>-3.5</v>
      </c>
      <c r="M80" s="6">
        <f t="shared" si="8"/>
        <v>13.713861386138623</v>
      </c>
      <c r="N80" s="6">
        <f t="shared" si="9"/>
        <v>7.8364922206506415</v>
      </c>
      <c r="O80" s="6">
        <f t="shared" si="1"/>
        <v>5.877369165487981</v>
      </c>
      <c r="P80" s="130">
        <f t="shared" si="16"/>
        <v>0.8095238095238095</v>
      </c>
      <c r="Q80" s="6">
        <f t="shared" si="10"/>
        <v>754.9154172560119</v>
      </c>
      <c r="R80" s="130">
        <f t="shared" si="28"/>
        <v>8.009356019635582</v>
      </c>
      <c r="S80" s="130">
        <f t="shared" si="11"/>
        <v>0.8943610117314251</v>
      </c>
      <c r="T80" s="140">
        <f t="shared" si="29"/>
        <v>48.29549463349696</v>
      </c>
      <c r="U80" s="143">
        <f t="shared" si="2"/>
        <v>43.47826086956522</v>
      </c>
      <c r="V80" s="6">
        <f t="shared" si="3"/>
        <v>364.5901348283184</v>
      </c>
      <c r="W80" s="6">
        <f t="shared" si="12"/>
        <v>654.9154172560119</v>
      </c>
      <c r="X80" s="6">
        <f t="shared" si="13"/>
        <v>15.063054596888273</v>
      </c>
      <c r="Y80" s="220">
        <f t="shared" si="4"/>
        <v>1</v>
      </c>
      <c r="Z80" s="60"/>
      <c r="AA80" s="4"/>
    </row>
    <row r="81" spans="1:27" ht="15.75" customHeight="1">
      <c r="A81" s="56"/>
      <c r="B81" s="90">
        <v>20</v>
      </c>
      <c r="C81" s="77">
        <f t="shared" si="26"/>
        <v>-2.0000000000000004</v>
      </c>
      <c r="D81" s="75">
        <f>-$G$58</f>
        <v>-2.2666666666666666</v>
      </c>
      <c r="E81" s="75">
        <f>-$C$58/10</f>
        <v>-4</v>
      </c>
      <c r="F81" s="5"/>
      <c r="G81" s="5"/>
      <c r="H81" s="71"/>
      <c r="I81" s="56"/>
      <c r="J81" s="128">
        <f t="shared" si="14"/>
        <v>0.2584158415841586</v>
      </c>
      <c r="K81" s="129">
        <f t="shared" si="6"/>
        <v>10.044061302681982</v>
      </c>
      <c r="L81" s="130">
        <f t="shared" si="7"/>
        <v>-3.5</v>
      </c>
      <c r="M81" s="6">
        <f t="shared" si="8"/>
        <v>13.954455445544564</v>
      </c>
      <c r="N81" s="6">
        <f t="shared" si="9"/>
        <v>7.973974540311179</v>
      </c>
      <c r="O81" s="6">
        <f t="shared" si="1"/>
        <v>5.980480905233385</v>
      </c>
      <c r="P81" s="130">
        <f t="shared" si="16"/>
        <v>0.8095238095238095</v>
      </c>
      <c r="Q81" s="6">
        <f t="shared" si="10"/>
        <v>768.1595473833103</v>
      </c>
      <c r="R81" s="130">
        <f t="shared" si="28"/>
        <v>8.149871037523924</v>
      </c>
      <c r="S81" s="130">
        <f t="shared" si="11"/>
        <v>0.8925076961477658</v>
      </c>
      <c r="T81" s="140">
        <f t="shared" si="29"/>
        <v>48.195415591979355</v>
      </c>
      <c r="U81" s="143">
        <f t="shared" si="2"/>
        <v>43.47826086956522</v>
      </c>
      <c r="V81" s="6">
        <f t="shared" si="3"/>
        <v>370.21768627085396</v>
      </c>
      <c r="W81" s="6">
        <f t="shared" si="12"/>
        <v>668.1595473833103</v>
      </c>
      <c r="X81" s="6">
        <f t="shared" si="13"/>
        <v>15.367669589816137</v>
      </c>
      <c r="Y81" s="220">
        <f t="shared" si="4"/>
        <v>1</v>
      </c>
      <c r="Z81" s="60"/>
      <c r="AA81" s="4"/>
    </row>
    <row r="82" spans="1:27" ht="15.75" customHeight="1">
      <c r="A82" s="56"/>
      <c r="B82" s="62">
        <v>21</v>
      </c>
      <c r="C82" s="77">
        <f>C81+($E$58-$D$58)/15</f>
        <v>-2.1000000000000005</v>
      </c>
      <c r="D82" s="75">
        <f aca="true" t="shared" si="30" ref="D82:D96">-$G$58</f>
        <v>-2.2666666666666666</v>
      </c>
      <c r="E82" s="75">
        <f aca="true" t="shared" si="31" ref="E82:E96">-$C$58/10</f>
        <v>-4</v>
      </c>
      <c r="F82" s="5"/>
      <c r="G82" s="5" t="s">
        <v>101</v>
      </c>
      <c r="H82" s="71"/>
      <c r="I82" s="56"/>
      <c r="J82" s="128">
        <f t="shared" si="14"/>
        <v>0.26287128712871305</v>
      </c>
      <c r="K82" s="129">
        <f t="shared" si="6"/>
        <v>9.814500941619576</v>
      </c>
      <c r="L82" s="130">
        <f t="shared" si="7"/>
        <v>-3.5</v>
      </c>
      <c r="M82" s="6">
        <f t="shared" si="8"/>
        <v>14.195049504950505</v>
      </c>
      <c r="N82" s="6">
        <f t="shared" si="9"/>
        <v>8.111456859971717</v>
      </c>
      <c r="O82" s="6">
        <f t="shared" si="1"/>
        <v>6.083592644978788</v>
      </c>
      <c r="P82" s="130">
        <f t="shared" si="16"/>
        <v>0.8095238095238095</v>
      </c>
      <c r="Q82" s="6">
        <f t="shared" si="10"/>
        <v>781.4036775106089</v>
      </c>
      <c r="R82" s="130">
        <f t="shared" si="28"/>
        <v>8.290386055412272</v>
      </c>
      <c r="S82" s="130">
        <f t="shared" si="11"/>
        <v>0.8906543805641068</v>
      </c>
      <c r="T82" s="140">
        <f t="shared" si="29"/>
        <v>48.09533655046177</v>
      </c>
      <c r="U82" s="143">
        <f t="shared" si="2"/>
        <v>43.47826086956522</v>
      </c>
      <c r="V82" s="6">
        <f t="shared" si="3"/>
        <v>375.81872851641225</v>
      </c>
      <c r="W82" s="6">
        <f t="shared" si="12"/>
        <v>681.4036775106089</v>
      </c>
      <c r="X82" s="6">
        <f t="shared" si="13"/>
        <v>15.672284582744004</v>
      </c>
      <c r="Y82" s="220">
        <f t="shared" si="4"/>
        <v>1</v>
      </c>
      <c r="Z82" s="60"/>
      <c r="AA82" s="4"/>
    </row>
    <row r="83" spans="1:27" ht="15.75" customHeight="1">
      <c r="A83" s="56"/>
      <c r="B83" s="62">
        <v>22</v>
      </c>
      <c r="C83" s="77">
        <f aca="true" t="shared" si="32" ref="C83:C96">C82+($E$58-$D$58)/15</f>
        <v>-2.2000000000000006</v>
      </c>
      <c r="D83" s="75">
        <f t="shared" si="30"/>
        <v>-2.2666666666666666</v>
      </c>
      <c r="E83" s="75">
        <f t="shared" si="31"/>
        <v>-4</v>
      </c>
      <c r="F83" s="5"/>
      <c r="G83" s="73" t="s">
        <v>98</v>
      </c>
      <c r="H83" s="74" t="s">
        <v>99</v>
      </c>
      <c r="I83" s="56"/>
      <c r="J83" s="128">
        <f t="shared" si="14"/>
        <v>0.2673267326732675</v>
      </c>
      <c r="K83" s="129">
        <f t="shared" si="6"/>
        <v>9.592592592592583</v>
      </c>
      <c r="L83" s="130">
        <f t="shared" si="7"/>
        <v>-3.5</v>
      </c>
      <c r="M83" s="6">
        <f t="shared" si="8"/>
        <v>14.435643564356445</v>
      </c>
      <c r="N83" s="6">
        <f t="shared" si="9"/>
        <v>8.248939179632256</v>
      </c>
      <c r="O83" s="6">
        <f t="shared" si="1"/>
        <v>6.186704384724189</v>
      </c>
      <c r="P83" s="130">
        <f t="shared" si="16"/>
        <v>0.8095238095238095</v>
      </c>
      <c r="Q83" s="6">
        <f t="shared" si="10"/>
        <v>794.6478076379071</v>
      </c>
      <c r="R83" s="130">
        <f t="shared" si="28"/>
        <v>8.43090107330061</v>
      </c>
      <c r="S83" s="130">
        <f t="shared" si="11"/>
        <v>0.8888010649804475</v>
      </c>
      <c r="T83" s="140">
        <f t="shared" si="29"/>
        <v>47.995257508944164</v>
      </c>
      <c r="U83" s="143">
        <f t="shared" si="2"/>
        <v>43.47826086956522</v>
      </c>
      <c r="V83" s="6">
        <f t="shared" si="3"/>
        <v>381.39326156499277</v>
      </c>
      <c r="W83" s="6">
        <f t="shared" si="12"/>
        <v>694.6478076379071</v>
      </c>
      <c r="X83" s="6">
        <f t="shared" si="13"/>
        <v>15.976899575671863</v>
      </c>
      <c r="Y83" s="220">
        <f t="shared" si="4"/>
        <v>1</v>
      </c>
      <c r="Z83" s="60"/>
      <c r="AA83" s="4"/>
    </row>
    <row r="84" spans="1:27" ht="15.75" customHeight="1">
      <c r="A84" s="56"/>
      <c r="B84" s="62">
        <v>23</v>
      </c>
      <c r="C84" s="77">
        <f t="shared" si="32"/>
        <v>-2.3000000000000007</v>
      </c>
      <c r="D84" s="75">
        <f t="shared" si="30"/>
        <v>-2.2666666666666666</v>
      </c>
      <c r="E84" s="75">
        <f t="shared" si="31"/>
        <v>-4</v>
      </c>
      <c r="F84" s="5"/>
      <c r="G84" s="77">
        <f>H15</f>
        <v>0.002173913043478261</v>
      </c>
      <c r="H84" s="85">
        <v>0</v>
      </c>
      <c r="I84" s="56"/>
      <c r="J84" s="128">
        <f t="shared" si="14"/>
        <v>0.27178217821782197</v>
      </c>
      <c r="K84" s="129">
        <f t="shared" si="6"/>
        <v>9.377959927140244</v>
      </c>
      <c r="L84" s="130">
        <f t="shared" si="7"/>
        <v>-3.5</v>
      </c>
      <c r="M84" s="6">
        <f t="shared" si="8"/>
        <v>14.676237623762386</v>
      </c>
      <c r="N84" s="6">
        <f t="shared" si="9"/>
        <v>8.386421499292792</v>
      </c>
      <c r="O84" s="6">
        <f t="shared" si="1"/>
        <v>6.289816124469594</v>
      </c>
      <c r="P84" s="130">
        <f t="shared" si="16"/>
        <v>0.8095238095238095</v>
      </c>
      <c r="Q84" s="6">
        <f t="shared" si="10"/>
        <v>807.8919377652056</v>
      </c>
      <c r="R84" s="130">
        <f t="shared" si="28"/>
        <v>8.571416091188956</v>
      </c>
      <c r="S84" s="130">
        <f t="shared" si="11"/>
        <v>0.8869477493967883</v>
      </c>
      <c r="T84" s="140">
        <f t="shared" si="29"/>
        <v>47.89517846742657</v>
      </c>
      <c r="U84" s="143">
        <f>IF(K84&lt;$H$15*1000,K84/$H$15/1000*$E$15,$E$15+($F$15-$E$15)/($H$13-$H$15)*(K84/1000-$H$15))</f>
        <v>43.47826086956522</v>
      </c>
      <c r="V84" s="6">
        <f t="shared" si="3"/>
        <v>386.941285416596</v>
      </c>
      <c r="W84" s="6">
        <f t="shared" si="12"/>
        <v>707.8919377652056</v>
      </c>
      <c r="X84" s="6">
        <f t="shared" si="13"/>
        <v>16.28151456859973</v>
      </c>
      <c r="Y84" s="220">
        <f t="shared" si="4"/>
        <v>1</v>
      </c>
      <c r="Z84" s="60"/>
      <c r="AA84" s="4"/>
    </row>
    <row r="85" spans="1:27" ht="15.75" customHeight="1">
      <c r="A85" s="56"/>
      <c r="B85" s="62">
        <v>24</v>
      </c>
      <c r="C85" s="77">
        <f t="shared" si="32"/>
        <v>-2.400000000000001</v>
      </c>
      <c r="D85" s="75">
        <f t="shared" si="30"/>
        <v>-2.2666666666666666</v>
      </c>
      <c r="E85" s="75">
        <f t="shared" si="31"/>
        <v>-4</v>
      </c>
      <c r="F85" s="5"/>
      <c r="G85" s="77">
        <f>H15</f>
        <v>0.002173913043478261</v>
      </c>
      <c r="H85" s="85">
        <f>E15</f>
        <v>43.47826086956522</v>
      </c>
      <c r="I85" s="56"/>
      <c r="J85" s="128">
        <f t="shared" si="14"/>
        <v>0.2762376237623764</v>
      </c>
      <c r="K85" s="129">
        <f t="shared" si="6"/>
        <v>9.17025089605734</v>
      </c>
      <c r="L85" s="130">
        <f t="shared" si="7"/>
        <v>-3.5</v>
      </c>
      <c r="M85" s="6">
        <f t="shared" si="8"/>
        <v>14.916831683168327</v>
      </c>
      <c r="N85" s="6">
        <f t="shared" si="9"/>
        <v>8.523903818953329</v>
      </c>
      <c r="O85" s="6">
        <f t="shared" si="1"/>
        <v>6.3929278642149985</v>
      </c>
      <c r="P85" s="130">
        <f t="shared" si="16"/>
        <v>0.8095238095238095</v>
      </c>
      <c r="Q85" s="6">
        <f t="shared" si="10"/>
        <v>821.1360678925041</v>
      </c>
      <c r="R85" s="130">
        <f t="shared" si="28"/>
        <v>8.7119311090773</v>
      </c>
      <c r="S85" s="130">
        <f t="shared" si="11"/>
        <v>0.8850944338131291</v>
      </c>
      <c r="T85" s="140">
        <f t="shared" si="29"/>
        <v>47.79509942590897</v>
      </c>
      <c r="U85" s="143">
        <f>IF(K85&lt;$H$15*1000,K85/$H$15/1000*$E$15,$E$15+($F$15-$E$15)/($H$13-$H$15)*(K85/1000-$H$15))</f>
        <v>43.47826086956522</v>
      </c>
      <c r="V85" s="6">
        <f>Q85*T85/100</f>
        <v>392.4628000712217</v>
      </c>
      <c r="W85" s="6">
        <f t="shared" si="12"/>
        <v>721.1360678925041</v>
      </c>
      <c r="X85" s="6">
        <f t="shared" si="13"/>
        <v>16.586129561527596</v>
      </c>
      <c r="Y85" s="220">
        <f t="shared" si="4"/>
        <v>1</v>
      </c>
      <c r="Z85" s="60"/>
      <c r="AA85" s="4"/>
    </row>
    <row r="86" spans="1:27" ht="15.75" customHeight="1">
      <c r="A86" s="56"/>
      <c r="B86" s="62">
        <v>25</v>
      </c>
      <c r="C86" s="77">
        <f t="shared" si="32"/>
        <v>-2.500000000000001</v>
      </c>
      <c r="D86" s="75">
        <f t="shared" si="30"/>
        <v>-2.2666666666666666</v>
      </c>
      <c r="E86" s="75">
        <f t="shared" si="31"/>
        <v>-4</v>
      </c>
      <c r="F86" s="5"/>
      <c r="G86" s="77"/>
      <c r="H86" s="85"/>
      <c r="I86" s="56"/>
      <c r="J86" s="128">
        <f t="shared" si="14"/>
        <v>0.2806930693069309</v>
      </c>
      <c r="K86" s="129">
        <f t="shared" si="6"/>
        <v>8.969135802469127</v>
      </c>
      <c r="L86" s="130">
        <f t="shared" si="7"/>
        <v>-3.5</v>
      </c>
      <c r="M86" s="6">
        <f t="shared" si="8"/>
        <v>15.157425742574269</v>
      </c>
      <c r="N86" s="6">
        <f t="shared" si="9"/>
        <v>8.661386138613867</v>
      </c>
      <c r="O86" s="6">
        <f t="shared" si="1"/>
        <v>6.496039603960401</v>
      </c>
      <c r="P86" s="130">
        <f t="shared" si="16"/>
        <v>0.8095238095238095</v>
      </c>
      <c r="Q86" s="6">
        <f t="shared" si="10"/>
        <v>834.3801980198025</v>
      </c>
      <c r="R86" s="130">
        <f t="shared" si="28"/>
        <v>8.852446126965646</v>
      </c>
      <c r="S86" s="130">
        <f t="shared" si="11"/>
        <v>0.8832411182294699</v>
      </c>
      <c r="T86" s="140">
        <f t="shared" si="29"/>
        <v>47.69502038439138</v>
      </c>
      <c r="U86" s="143">
        <f>IF(K86&lt;$H$15*1000,K86/$H$15/1000*$E$15,$E$15+($F$15-$E$15)/($H$13-$H$15)*(K86/1000-$H$15))</f>
        <v>43.47826086956522</v>
      </c>
      <c r="V86" s="6">
        <f>Q86*T86/100</f>
        <v>397.9578055288699</v>
      </c>
      <c r="W86" s="6">
        <f t="shared" si="12"/>
        <v>734.3801980198025</v>
      </c>
      <c r="X86" s="6">
        <f t="shared" si="13"/>
        <v>16.890744554455456</v>
      </c>
      <c r="Y86" s="220">
        <f t="shared" si="4"/>
        <v>1</v>
      </c>
      <c r="Z86" s="60"/>
      <c r="AA86" s="4"/>
    </row>
    <row r="87" spans="1:27" ht="15.75" customHeight="1">
      <c r="A87" s="56"/>
      <c r="B87" s="62">
        <v>26</v>
      </c>
      <c r="C87" s="77">
        <f t="shared" si="32"/>
        <v>-2.600000000000001</v>
      </c>
      <c r="D87" s="75">
        <f t="shared" si="30"/>
        <v>-2.2666666666666666</v>
      </c>
      <c r="E87" s="75">
        <f t="shared" si="31"/>
        <v>-4</v>
      </c>
      <c r="F87" s="5"/>
      <c r="G87" s="77">
        <f>G15</f>
        <v>0.0025</v>
      </c>
      <c r="H87" s="85">
        <v>0</v>
      </c>
      <c r="I87" s="56"/>
      <c r="J87" s="128">
        <f t="shared" si="14"/>
        <v>0.28514851485148535</v>
      </c>
      <c r="K87" s="129">
        <f t="shared" si="6"/>
        <v>8.774305555555546</v>
      </c>
      <c r="L87" s="130">
        <f t="shared" si="7"/>
        <v>-3.5</v>
      </c>
      <c r="M87" s="6">
        <f t="shared" si="8"/>
        <v>15.398019801980208</v>
      </c>
      <c r="N87" s="6">
        <f t="shared" si="9"/>
        <v>8.798868458274404</v>
      </c>
      <c r="O87" s="6">
        <f aca="true" t="shared" si="33" ref="O87:O123">IF(M87&gt;N87,M87-N87,0)</f>
        <v>6.599151343705804</v>
      </c>
      <c r="P87" s="130">
        <f t="shared" si="16"/>
        <v>0.8095238095238095</v>
      </c>
      <c r="Q87" s="6">
        <f t="shared" si="10"/>
        <v>847.624328147101</v>
      </c>
      <c r="R87" s="130">
        <f t="shared" si="28"/>
        <v>8.992961144853986</v>
      </c>
      <c r="S87" s="130">
        <f t="shared" si="11"/>
        <v>0.8813878026458106</v>
      </c>
      <c r="T87" s="140">
        <f t="shared" si="29"/>
        <v>47.594941342873774</v>
      </c>
      <c r="U87" s="143">
        <f aca="true" t="shared" si="34" ref="U87:U124">IF(K87&lt;$H$15*1000,K87/$H$15/1000*$E$15,$E$15+($F$15-$E$15)/($H$13-$H$15)*(K87/1000-$H$15))</f>
        <v>43.47826086956522</v>
      </c>
      <c r="V87" s="6">
        <f>Q87*T87/100</f>
        <v>403.4263017895407</v>
      </c>
      <c r="W87" s="6">
        <f t="shared" si="12"/>
        <v>747.624328147101</v>
      </c>
      <c r="X87" s="6">
        <f t="shared" si="13"/>
        <v>17.195359547383323</v>
      </c>
      <c r="Y87" s="220">
        <f aca="true" t="shared" si="35" ref="Y87:Y123">IF(V87-$K$12&gt;0,1,0)</f>
        <v>1</v>
      </c>
      <c r="Z87" s="60"/>
      <c r="AA87" s="4"/>
    </row>
    <row r="88" spans="1:27" ht="15.75" customHeight="1">
      <c r="A88" s="56"/>
      <c r="B88" s="62">
        <v>27</v>
      </c>
      <c r="C88" s="77">
        <f t="shared" si="32"/>
        <v>-2.700000000000001</v>
      </c>
      <c r="D88" s="75">
        <f t="shared" si="30"/>
        <v>-2.2666666666666666</v>
      </c>
      <c r="E88" s="75">
        <f t="shared" si="31"/>
        <v>-4</v>
      </c>
      <c r="F88" s="5"/>
      <c r="G88" s="77">
        <f>G15</f>
        <v>0.0025</v>
      </c>
      <c r="H88" s="85">
        <f>C15</f>
        <v>50</v>
      </c>
      <c r="I88" s="56"/>
      <c r="J88" s="128">
        <f t="shared" si="14"/>
        <v>0.2896039603960398</v>
      </c>
      <c r="K88" s="129">
        <f aca="true" t="shared" si="36" ref="K88:K124">IF(J88&lt;=(-$E$58/($H$13*1000-$E$58)),$H$13*1000,ABS(L88)*(1-J88)/J88)</f>
        <v>8.585470085470076</v>
      </c>
      <c r="L88" s="130">
        <f aca="true" t="shared" si="37" ref="L88:L124">IF(J88&lt;=(-$E$58/($H$13*1000-$E$58)),-$H$13*1000*J88/(1-J88),$E$58)</f>
        <v>-3.5</v>
      </c>
      <c r="M88" s="6">
        <f aca="true" t="shared" si="38" ref="M88:M124">J88*$M$4</f>
        <v>15.63861386138615</v>
      </c>
      <c r="N88" s="6">
        <f aca="true" t="shared" si="39" ref="N88:N123">-$D$58/K88*($M$4-M88)</f>
        <v>8.936350777934944</v>
      </c>
      <c r="O88" s="6">
        <f t="shared" si="33"/>
        <v>6.702263083451205</v>
      </c>
      <c r="P88" s="130">
        <f t="shared" si="16"/>
        <v>0.8095238095238095</v>
      </c>
      <c r="Q88" s="6">
        <f aca="true" t="shared" si="40" ref="Q88:Q124">M88*P88*BOben*$G$58</f>
        <v>860.8684582743995</v>
      </c>
      <c r="R88" s="130">
        <f t="shared" si="28"/>
        <v>9.133476162742332</v>
      </c>
      <c r="S88" s="130">
        <f aca="true" t="shared" si="41" ref="S88:S124">T88/$M$4</f>
        <v>0.8795344870621515</v>
      </c>
      <c r="T88" s="140">
        <f t="shared" si="29"/>
        <v>47.494862301356186</v>
      </c>
      <c r="U88" s="143">
        <f t="shared" si="34"/>
        <v>43.47826086956522</v>
      </c>
      <c r="V88" s="6">
        <f>Q88*T88/100</f>
        <v>408.868288853234</v>
      </c>
      <c r="W88" s="6">
        <f aca="true" t="shared" si="42" ref="W88:W124">$K$10+Q88</f>
        <v>760.8684582743995</v>
      </c>
      <c r="X88" s="6">
        <f aca="true" t="shared" si="43" ref="X88:X124">W88/U88</f>
        <v>17.499974540311186</v>
      </c>
      <c r="Y88" s="220">
        <f t="shared" si="35"/>
        <v>1</v>
      </c>
      <c r="Z88" s="60"/>
      <c r="AA88" s="4"/>
    </row>
    <row r="89" spans="1:27" ht="15.75" customHeight="1">
      <c r="A89" s="56"/>
      <c r="B89" s="62">
        <v>28</v>
      </c>
      <c r="C89" s="77">
        <f t="shared" si="32"/>
        <v>-2.800000000000001</v>
      </c>
      <c r="D89" s="75">
        <f t="shared" si="30"/>
        <v>-2.2666666666666666</v>
      </c>
      <c r="E89" s="75">
        <f t="shared" si="31"/>
        <v>-4</v>
      </c>
      <c r="F89" s="5"/>
      <c r="G89" s="77"/>
      <c r="H89" s="85"/>
      <c r="I89" s="56"/>
      <c r="J89" s="128">
        <f aca="true" t="shared" si="44" ref="J89:J124">J88+$J$21</f>
        <v>0.29405940594059427</v>
      </c>
      <c r="K89" s="129">
        <f t="shared" si="36"/>
        <v>8.402356902356892</v>
      </c>
      <c r="L89" s="130">
        <f t="shared" si="37"/>
        <v>-3.5</v>
      </c>
      <c r="M89" s="6">
        <f t="shared" si="38"/>
        <v>15.87920792079209</v>
      </c>
      <c r="N89" s="6">
        <f t="shared" si="39"/>
        <v>9.073833097595482</v>
      </c>
      <c r="O89" s="6">
        <f t="shared" si="33"/>
        <v>6.805374823196608</v>
      </c>
      <c r="P89" s="130">
        <f t="shared" si="16"/>
        <v>0.8095238095238095</v>
      </c>
      <c r="Q89" s="6">
        <f t="shared" si="40"/>
        <v>874.112588401698</v>
      </c>
      <c r="R89" s="130">
        <f t="shared" si="28"/>
        <v>9.273991180630675</v>
      </c>
      <c r="S89" s="130">
        <f t="shared" si="41"/>
        <v>0.8776811714784922</v>
      </c>
      <c r="T89" s="140">
        <f t="shared" si="29"/>
        <v>47.39478325983858</v>
      </c>
      <c r="U89" s="143">
        <f t="shared" si="34"/>
        <v>43.47826086956522</v>
      </c>
      <c r="V89" s="6">
        <f aca="true" t="shared" si="45" ref="V89:V124">Q89*T89/100</f>
        <v>414.2837667199497</v>
      </c>
      <c r="W89" s="6">
        <f t="shared" si="42"/>
        <v>774.112588401698</v>
      </c>
      <c r="X89" s="6">
        <f t="shared" si="43"/>
        <v>17.804589533239053</v>
      </c>
      <c r="Y89" s="220">
        <f t="shared" si="35"/>
        <v>1</v>
      </c>
      <c r="Z89" s="60"/>
      <c r="AA89" s="4"/>
    </row>
    <row r="90" spans="1:27" ht="15.75" customHeight="1">
      <c r="A90" s="56"/>
      <c r="B90" s="62">
        <v>29</v>
      </c>
      <c r="C90" s="77">
        <f t="shared" si="32"/>
        <v>-2.9000000000000012</v>
      </c>
      <c r="D90" s="75">
        <f t="shared" si="30"/>
        <v>-2.2666666666666666</v>
      </c>
      <c r="E90" s="75">
        <f t="shared" si="31"/>
        <v>-4</v>
      </c>
      <c r="F90" s="5"/>
      <c r="G90" s="77">
        <f>H13</f>
        <v>0.025</v>
      </c>
      <c r="H90" s="85">
        <v>0</v>
      </c>
      <c r="I90" s="56"/>
      <c r="J90" s="128">
        <f t="shared" si="44"/>
        <v>0.2985148514851487</v>
      </c>
      <c r="K90" s="129">
        <f t="shared" si="36"/>
        <v>8.224709784411269</v>
      </c>
      <c r="L90" s="130">
        <f t="shared" si="37"/>
        <v>-3.5</v>
      </c>
      <c r="M90" s="6">
        <f t="shared" si="38"/>
        <v>16.11980198019803</v>
      </c>
      <c r="N90" s="6">
        <f t="shared" si="39"/>
        <v>9.211315417256017</v>
      </c>
      <c r="O90" s="6">
        <f t="shared" si="33"/>
        <v>6.908486562942013</v>
      </c>
      <c r="P90" s="130">
        <f aca="true" t="shared" si="46" ref="P90:P124">IF(O90=0,1-$D$58/($F$58+1)/-L90*((1+L90/-$D$58)^($F$58+1)-1),1+$D$58/($F$58+1)/-L90)</f>
        <v>0.8095238095238095</v>
      </c>
      <c r="Q90" s="6">
        <f t="shared" si="40"/>
        <v>887.3567185289963</v>
      </c>
      <c r="R90" s="130">
        <f t="shared" si="28"/>
        <v>9.414506198519017</v>
      </c>
      <c r="S90" s="130">
        <f t="shared" si="41"/>
        <v>0.8758278558948331</v>
      </c>
      <c r="T90" s="140">
        <f t="shared" si="29"/>
        <v>47.29470421832099</v>
      </c>
      <c r="U90" s="143">
        <f t="shared" si="34"/>
        <v>43.47826086956522</v>
      </c>
      <c r="V90" s="6">
        <f t="shared" si="45"/>
        <v>419.67273538968794</v>
      </c>
      <c r="W90" s="6">
        <f t="shared" si="42"/>
        <v>787.3567185289963</v>
      </c>
      <c r="X90" s="6">
        <f t="shared" si="43"/>
        <v>18.109204526166916</v>
      </c>
      <c r="Y90" s="220">
        <f t="shared" si="35"/>
        <v>1</v>
      </c>
      <c r="Z90" s="60"/>
      <c r="AA90" s="4"/>
    </row>
    <row r="91" spans="1:27" ht="15.75" customHeight="1">
      <c r="A91" s="56"/>
      <c r="B91" s="62">
        <v>30</v>
      </c>
      <c r="C91" s="77">
        <f t="shared" si="32"/>
        <v>-3.0000000000000013</v>
      </c>
      <c r="D91" s="75">
        <f t="shared" si="30"/>
        <v>-2.2666666666666666</v>
      </c>
      <c r="E91" s="75">
        <f t="shared" si="31"/>
        <v>-4</v>
      </c>
      <c r="F91" s="5"/>
      <c r="G91" s="77">
        <f>H13</f>
        <v>0.025</v>
      </c>
      <c r="H91" s="85">
        <f>F15</f>
        <v>43.47826086956522</v>
      </c>
      <c r="I91" s="56"/>
      <c r="J91" s="128">
        <f t="shared" si="44"/>
        <v>0.3029702970297032</v>
      </c>
      <c r="K91" s="129">
        <f t="shared" si="36"/>
        <v>8.052287581699337</v>
      </c>
      <c r="L91" s="130">
        <f t="shared" si="37"/>
        <v>-3.5</v>
      </c>
      <c r="M91" s="6">
        <f t="shared" si="38"/>
        <v>16.360396039603973</v>
      </c>
      <c r="N91" s="6">
        <f t="shared" si="39"/>
        <v>9.348797736916557</v>
      </c>
      <c r="O91" s="6">
        <f t="shared" si="33"/>
        <v>7.011598302687416</v>
      </c>
      <c r="P91" s="130">
        <f t="shared" si="46"/>
        <v>0.8095238095238095</v>
      </c>
      <c r="Q91" s="6">
        <f t="shared" si="40"/>
        <v>900.6008486562948</v>
      </c>
      <c r="R91" s="130">
        <f t="shared" si="28"/>
        <v>9.555021216407361</v>
      </c>
      <c r="S91" s="130">
        <f t="shared" si="41"/>
        <v>0.8739745403111739</v>
      </c>
      <c r="T91" s="140">
        <f t="shared" si="29"/>
        <v>47.19462517680339</v>
      </c>
      <c r="U91" s="143">
        <f t="shared" si="34"/>
        <v>43.47826086956522</v>
      </c>
      <c r="V91" s="6">
        <f t="shared" si="45"/>
        <v>425.0351948624487</v>
      </c>
      <c r="W91" s="6">
        <f t="shared" si="42"/>
        <v>800.6008486562948</v>
      </c>
      <c r="X91" s="6">
        <f t="shared" si="43"/>
        <v>18.41381951909478</v>
      </c>
      <c r="Y91" s="220">
        <f t="shared" si="35"/>
        <v>1</v>
      </c>
      <c r="Z91" s="60"/>
      <c r="AA91" s="4"/>
    </row>
    <row r="92" spans="1:27" ht="15.75" customHeight="1">
      <c r="A92" s="56"/>
      <c r="B92" s="62">
        <v>31</v>
      </c>
      <c r="C92" s="77">
        <f t="shared" si="32"/>
        <v>-3.1000000000000014</v>
      </c>
      <c r="D92" s="75">
        <f t="shared" si="30"/>
        <v>-2.2666666666666666</v>
      </c>
      <c r="E92" s="75">
        <f t="shared" si="31"/>
        <v>-4</v>
      </c>
      <c r="F92" s="5"/>
      <c r="G92" s="77">
        <f>H13</f>
        <v>0.025</v>
      </c>
      <c r="H92" s="85">
        <f>D15</f>
        <v>52.5</v>
      </c>
      <c r="I92" s="56"/>
      <c r="J92" s="128">
        <f t="shared" si="44"/>
        <v>0.30742574257425764</v>
      </c>
      <c r="K92" s="129">
        <f t="shared" si="36"/>
        <v>7.88486312399355</v>
      </c>
      <c r="L92" s="130">
        <f t="shared" si="37"/>
        <v>-3.5</v>
      </c>
      <c r="M92" s="6">
        <f t="shared" si="38"/>
        <v>16.600990099009913</v>
      </c>
      <c r="N92" s="6">
        <f t="shared" si="39"/>
        <v>9.486280056577094</v>
      </c>
      <c r="O92" s="6">
        <f t="shared" si="33"/>
        <v>7.114710042432819</v>
      </c>
      <c r="P92" s="130">
        <f t="shared" si="46"/>
        <v>0.8095238095238095</v>
      </c>
      <c r="Q92" s="6">
        <f t="shared" si="40"/>
        <v>913.8449787835933</v>
      </c>
      <c r="R92" s="130">
        <f t="shared" si="28"/>
        <v>9.695536234295707</v>
      </c>
      <c r="S92" s="130">
        <f t="shared" si="41"/>
        <v>0.8721212247275147</v>
      </c>
      <c r="T92" s="140">
        <f t="shared" si="29"/>
        <v>47.094546135285796</v>
      </c>
      <c r="U92" s="143">
        <f t="shared" si="34"/>
        <v>43.47826086956522</v>
      </c>
      <c r="V92" s="6">
        <f t="shared" si="45"/>
        <v>430.371145138232</v>
      </c>
      <c r="W92" s="6">
        <f t="shared" si="42"/>
        <v>813.8449787835933</v>
      </c>
      <c r="X92" s="6">
        <f t="shared" si="43"/>
        <v>18.718434512022647</v>
      </c>
      <c r="Y92" s="220">
        <f t="shared" si="35"/>
        <v>1</v>
      </c>
      <c r="Z92" s="60"/>
      <c r="AA92" s="4"/>
    </row>
    <row r="93" spans="1:27" ht="15.75" customHeight="1">
      <c r="A93" s="56"/>
      <c r="B93" s="62">
        <v>32</v>
      </c>
      <c r="C93" s="77">
        <f t="shared" si="32"/>
        <v>-3.2000000000000015</v>
      </c>
      <c r="D93" s="75">
        <f t="shared" si="30"/>
        <v>-2.2666666666666666</v>
      </c>
      <c r="E93" s="75">
        <f t="shared" si="31"/>
        <v>-4</v>
      </c>
      <c r="F93" s="5"/>
      <c r="G93" s="5"/>
      <c r="H93" s="71"/>
      <c r="I93" s="56"/>
      <c r="J93" s="128">
        <f t="shared" si="44"/>
        <v>0.3118811881188121</v>
      </c>
      <c r="K93" s="129">
        <f t="shared" si="36"/>
        <v>7.722222222222214</v>
      </c>
      <c r="L93" s="130">
        <f t="shared" si="37"/>
        <v>-3.5</v>
      </c>
      <c r="M93" s="6">
        <f t="shared" si="38"/>
        <v>16.841584158415852</v>
      </c>
      <c r="N93" s="6">
        <f t="shared" si="39"/>
        <v>9.62376237623763</v>
      </c>
      <c r="O93" s="6">
        <f t="shared" si="33"/>
        <v>7.217821782178222</v>
      </c>
      <c r="P93" s="130">
        <f t="shared" si="46"/>
        <v>0.8095238095238095</v>
      </c>
      <c r="Q93" s="6">
        <f t="shared" si="40"/>
        <v>927.0891089108917</v>
      </c>
      <c r="R93" s="130">
        <f t="shared" si="28"/>
        <v>9.836051252184049</v>
      </c>
      <c r="S93" s="130">
        <f t="shared" si="41"/>
        <v>0.8702679091438554</v>
      </c>
      <c r="T93" s="140">
        <f t="shared" si="29"/>
        <v>46.99446709376819</v>
      </c>
      <c r="U93" s="143">
        <f t="shared" si="34"/>
        <v>43.47826086956522</v>
      </c>
      <c r="V93" s="6">
        <f t="shared" si="45"/>
        <v>435.6805862170378</v>
      </c>
      <c r="W93" s="6">
        <f t="shared" si="42"/>
        <v>827.0891089108917</v>
      </c>
      <c r="X93" s="6">
        <f t="shared" si="43"/>
        <v>19.02304950495051</v>
      </c>
      <c r="Y93" s="220">
        <f t="shared" si="35"/>
        <v>1</v>
      </c>
      <c r="Z93" s="60"/>
      <c r="AA93" s="4"/>
    </row>
    <row r="94" spans="1:27" ht="15.75" customHeight="1">
      <c r="A94" s="56"/>
      <c r="B94" s="62">
        <v>33</v>
      </c>
      <c r="C94" s="77">
        <f t="shared" si="32"/>
        <v>-3.3000000000000016</v>
      </c>
      <c r="D94" s="75">
        <f t="shared" si="30"/>
        <v>-2.2666666666666666</v>
      </c>
      <c r="E94" s="75">
        <f t="shared" si="31"/>
        <v>-4</v>
      </c>
      <c r="F94" s="5"/>
      <c r="G94" s="5"/>
      <c r="H94" s="71"/>
      <c r="I94" s="56"/>
      <c r="J94" s="128">
        <f t="shared" si="44"/>
        <v>0.31633663366336656</v>
      </c>
      <c r="K94" s="129">
        <f t="shared" si="36"/>
        <v>7.564162754303592</v>
      </c>
      <c r="L94" s="130">
        <f t="shared" si="37"/>
        <v>-3.5</v>
      </c>
      <c r="M94" s="6">
        <f t="shared" si="38"/>
        <v>17.082178217821795</v>
      </c>
      <c r="N94" s="6">
        <f t="shared" si="39"/>
        <v>9.761244695898169</v>
      </c>
      <c r="O94" s="6">
        <f t="shared" si="33"/>
        <v>7.320933521923626</v>
      </c>
      <c r="P94" s="130">
        <f t="shared" si="46"/>
        <v>0.8095238095238095</v>
      </c>
      <c r="Q94" s="6">
        <f t="shared" si="40"/>
        <v>940.3332390381902</v>
      </c>
      <c r="R94" s="130">
        <f t="shared" si="28"/>
        <v>9.976566270072391</v>
      </c>
      <c r="S94" s="130">
        <f t="shared" si="41"/>
        <v>0.8684145935601962</v>
      </c>
      <c r="T94" s="140">
        <f t="shared" si="29"/>
        <v>46.8943880522506</v>
      </c>
      <c r="U94" s="143">
        <f t="shared" si="34"/>
        <v>43.47826086956522</v>
      </c>
      <c r="V94" s="6">
        <f t="shared" si="45"/>
        <v>440.96351809886613</v>
      </c>
      <c r="W94" s="6">
        <f t="shared" si="42"/>
        <v>840.3332390381902</v>
      </c>
      <c r="X94" s="6">
        <f t="shared" si="43"/>
        <v>19.327664497878374</v>
      </c>
      <c r="Y94" s="220">
        <f t="shared" si="35"/>
        <v>1</v>
      </c>
      <c r="Z94" s="60"/>
      <c r="AA94" s="4"/>
    </row>
    <row r="95" spans="1:27" ht="15.75" customHeight="1">
      <c r="A95" s="56"/>
      <c r="B95" s="62">
        <v>34</v>
      </c>
      <c r="C95" s="77">
        <f t="shared" si="32"/>
        <v>-3.4000000000000017</v>
      </c>
      <c r="D95" s="75">
        <f t="shared" si="30"/>
        <v>-2.2666666666666666</v>
      </c>
      <c r="E95" s="75">
        <f t="shared" si="31"/>
        <v>-4</v>
      </c>
      <c r="F95" s="5"/>
      <c r="G95" s="5"/>
      <c r="H95" s="71"/>
      <c r="I95" s="56"/>
      <c r="J95" s="128">
        <f t="shared" si="44"/>
        <v>0.320792079207921</v>
      </c>
      <c r="K95" s="129">
        <f t="shared" si="36"/>
        <v>7.410493827160486</v>
      </c>
      <c r="L95" s="130">
        <f t="shared" si="37"/>
        <v>-3.5</v>
      </c>
      <c r="M95" s="6">
        <f t="shared" si="38"/>
        <v>17.322772277227735</v>
      </c>
      <c r="N95" s="6">
        <f t="shared" si="39"/>
        <v>9.898727015558705</v>
      </c>
      <c r="O95" s="6">
        <f t="shared" si="33"/>
        <v>7.424045261669029</v>
      </c>
      <c r="P95" s="130">
        <f t="shared" si="46"/>
        <v>0.8095238095238095</v>
      </c>
      <c r="Q95" s="6">
        <f t="shared" si="40"/>
        <v>953.5773691654887</v>
      </c>
      <c r="R95" s="130">
        <f t="shared" si="28"/>
        <v>10.117081287960737</v>
      </c>
      <c r="S95" s="130">
        <f t="shared" si="41"/>
        <v>0.866561277976537</v>
      </c>
      <c r="T95" s="140">
        <f t="shared" si="29"/>
        <v>46.794309010733</v>
      </c>
      <c r="U95" s="143">
        <f t="shared" si="34"/>
        <v>43.47826086956522</v>
      </c>
      <c r="V95" s="6">
        <f t="shared" si="45"/>
        <v>446.21994078371694</v>
      </c>
      <c r="W95" s="6">
        <f t="shared" si="42"/>
        <v>853.5773691654887</v>
      </c>
      <c r="X95" s="6">
        <f t="shared" si="43"/>
        <v>19.63227949080624</v>
      </c>
      <c r="Y95" s="220">
        <f t="shared" si="35"/>
        <v>1</v>
      </c>
      <c r="Z95" s="60"/>
      <c r="AA95" s="4"/>
    </row>
    <row r="96" spans="1:27" ht="15.75" customHeight="1" thickBot="1">
      <c r="A96" s="56"/>
      <c r="B96" s="103">
        <v>35</v>
      </c>
      <c r="C96" s="82">
        <f t="shared" si="32"/>
        <v>-3.5000000000000018</v>
      </c>
      <c r="D96" s="94">
        <f t="shared" si="30"/>
        <v>-2.2666666666666666</v>
      </c>
      <c r="E96" s="94">
        <f t="shared" si="31"/>
        <v>-4</v>
      </c>
      <c r="F96" s="81"/>
      <c r="G96" s="81"/>
      <c r="H96" s="65"/>
      <c r="I96" s="56"/>
      <c r="J96" s="128">
        <f t="shared" si="44"/>
        <v>0.3252475247524755</v>
      </c>
      <c r="K96" s="129">
        <f t="shared" si="36"/>
        <v>7.261035007610341</v>
      </c>
      <c r="L96" s="130">
        <f t="shared" si="37"/>
        <v>-3.5</v>
      </c>
      <c r="M96" s="6">
        <f t="shared" si="38"/>
        <v>17.563366336633678</v>
      </c>
      <c r="N96" s="6">
        <f t="shared" si="39"/>
        <v>10.036209335219244</v>
      </c>
      <c r="O96" s="6">
        <f t="shared" si="33"/>
        <v>7.527157001414434</v>
      </c>
      <c r="P96" s="130">
        <f t="shared" si="46"/>
        <v>0.8095238095238095</v>
      </c>
      <c r="Q96" s="6">
        <f t="shared" si="40"/>
        <v>966.8214992927872</v>
      </c>
      <c r="R96" s="130">
        <f t="shared" si="28"/>
        <v>10.25759630584908</v>
      </c>
      <c r="S96" s="130">
        <f t="shared" si="41"/>
        <v>0.8647079623928777</v>
      </c>
      <c r="T96" s="140">
        <f t="shared" si="29"/>
        <v>46.6942299692154</v>
      </c>
      <c r="U96" s="143">
        <f t="shared" si="34"/>
        <v>43.47826086956522</v>
      </c>
      <c r="V96" s="6">
        <f t="shared" si="45"/>
        <v>451.4498542715903</v>
      </c>
      <c r="W96" s="6">
        <f t="shared" si="42"/>
        <v>866.8214992927872</v>
      </c>
      <c r="X96" s="6">
        <f t="shared" si="43"/>
        <v>19.936894483734104</v>
      </c>
      <c r="Y96" s="220">
        <f t="shared" si="35"/>
        <v>1</v>
      </c>
      <c r="Z96" s="60"/>
      <c r="AA96" s="4"/>
    </row>
    <row r="97" spans="1:27" ht="15.75" customHeight="1" thickBot="1">
      <c r="A97" s="56"/>
      <c r="B97" s="56"/>
      <c r="C97" s="56"/>
      <c r="D97" s="56"/>
      <c r="E97" s="56"/>
      <c r="F97" s="56"/>
      <c r="G97" s="56"/>
      <c r="H97" s="56"/>
      <c r="I97" s="56"/>
      <c r="J97" s="128">
        <f t="shared" si="44"/>
        <v>0.32970297029702994</v>
      </c>
      <c r="K97" s="129">
        <f t="shared" si="36"/>
        <v>7.1156156156156065</v>
      </c>
      <c r="L97" s="130">
        <f t="shared" si="37"/>
        <v>-3.5</v>
      </c>
      <c r="M97" s="6">
        <f t="shared" si="38"/>
        <v>17.803960396039617</v>
      </c>
      <c r="N97" s="6">
        <f t="shared" si="39"/>
        <v>10.173691654879784</v>
      </c>
      <c r="O97" s="6">
        <f t="shared" si="33"/>
        <v>7.630268741159833</v>
      </c>
      <c r="P97" s="130">
        <f t="shared" si="46"/>
        <v>0.8095238095238095</v>
      </c>
      <c r="Q97" s="6">
        <f t="shared" si="40"/>
        <v>980.0656294200855</v>
      </c>
      <c r="R97" s="130">
        <f t="shared" si="28"/>
        <v>10.398111323737423</v>
      </c>
      <c r="S97" s="130">
        <f t="shared" si="41"/>
        <v>0.8628546468092188</v>
      </c>
      <c r="T97" s="140">
        <f t="shared" si="29"/>
        <v>46.59415092769781</v>
      </c>
      <c r="U97" s="143">
        <f t="shared" si="34"/>
        <v>43.47826086956522</v>
      </c>
      <c r="V97" s="6">
        <f t="shared" si="45"/>
        <v>456.65325856248614</v>
      </c>
      <c r="W97" s="6">
        <f t="shared" si="42"/>
        <v>880.0656294200855</v>
      </c>
      <c r="X97" s="6">
        <f t="shared" si="43"/>
        <v>20.241509476661967</v>
      </c>
      <c r="Y97" s="220">
        <f t="shared" si="35"/>
        <v>1</v>
      </c>
      <c r="Z97" s="60"/>
      <c r="AA97" s="4"/>
    </row>
    <row r="98" spans="1:27" ht="15.75" customHeight="1">
      <c r="A98" s="56"/>
      <c r="B98" s="21">
        <v>3</v>
      </c>
      <c r="C98" s="69" t="str">
        <f>INDEX(B100:B103,B98)</f>
        <v>0,450  - für Beton C12/15 bis C35/45</v>
      </c>
      <c r="D98" s="69"/>
      <c r="E98" s="69"/>
      <c r="F98" s="69"/>
      <c r="G98" s="69"/>
      <c r="H98" s="108">
        <f>INDEX(H100:H104,B98)</f>
        <v>0.45</v>
      </c>
      <c r="I98" s="56"/>
      <c r="J98" s="128">
        <f t="shared" si="44"/>
        <v>0.3341584158415844</v>
      </c>
      <c r="K98" s="129">
        <f t="shared" si="36"/>
        <v>6.974074074074066</v>
      </c>
      <c r="L98" s="130">
        <f t="shared" si="37"/>
        <v>-3.5</v>
      </c>
      <c r="M98" s="6">
        <f t="shared" si="38"/>
        <v>18.044554455445557</v>
      </c>
      <c r="N98" s="6">
        <f t="shared" si="39"/>
        <v>10.31117397454032</v>
      </c>
      <c r="O98" s="6">
        <f t="shared" si="33"/>
        <v>7.733380480905236</v>
      </c>
      <c r="P98" s="130">
        <f t="shared" si="46"/>
        <v>0.8095238095238095</v>
      </c>
      <c r="Q98" s="6">
        <f t="shared" si="40"/>
        <v>993.3097595473839</v>
      </c>
      <c r="R98" s="130">
        <f t="shared" si="28"/>
        <v>10.538626341625765</v>
      </c>
      <c r="S98" s="130">
        <f t="shared" si="41"/>
        <v>0.8610013312255594</v>
      </c>
      <c r="T98" s="140">
        <f t="shared" si="29"/>
        <v>46.49407188618021</v>
      </c>
      <c r="U98" s="143">
        <f t="shared" si="34"/>
        <v>43.47826086956522</v>
      </c>
      <c r="V98" s="6">
        <f t="shared" si="45"/>
        <v>461.83015365640443</v>
      </c>
      <c r="W98" s="6">
        <f t="shared" si="42"/>
        <v>893.3097595473839</v>
      </c>
      <c r="X98" s="6">
        <f t="shared" si="43"/>
        <v>20.54612446958983</v>
      </c>
      <c r="Y98" s="220">
        <f t="shared" si="35"/>
        <v>1</v>
      </c>
      <c r="Z98" s="60"/>
      <c r="AA98" s="4"/>
    </row>
    <row r="99" spans="1:27" ht="15.75" customHeight="1">
      <c r="A99" s="56"/>
      <c r="B99" s="87"/>
      <c r="C99" s="73"/>
      <c r="D99" s="73"/>
      <c r="E99" s="73"/>
      <c r="F99" s="73"/>
      <c r="G99" s="44" t="s">
        <v>130</v>
      </c>
      <c r="H99" s="45" t="s">
        <v>108</v>
      </c>
      <c r="I99" s="56"/>
      <c r="J99" s="128">
        <f t="shared" si="44"/>
        <v>0.33861386138613886</v>
      </c>
      <c r="K99" s="129">
        <f t="shared" si="36"/>
        <v>6.836257309941512</v>
      </c>
      <c r="L99" s="130">
        <f t="shared" si="37"/>
        <v>-3.5</v>
      </c>
      <c r="M99" s="6">
        <f t="shared" si="38"/>
        <v>18.2851485148515</v>
      </c>
      <c r="N99" s="6">
        <f t="shared" si="39"/>
        <v>10.448656294200857</v>
      </c>
      <c r="O99" s="6">
        <f t="shared" si="33"/>
        <v>7.836492220650642</v>
      </c>
      <c r="P99" s="130">
        <f t="shared" si="46"/>
        <v>0.8095238095238095</v>
      </c>
      <c r="Q99" s="6">
        <f t="shared" si="40"/>
        <v>1006.5538896746825</v>
      </c>
      <c r="R99" s="130">
        <f t="shared" si="28"/>
        <v>10.67914135951411</v>
      </c>
      <c r="S99" s="130">
        <f t="shared" si="41"/>
        <v>0.8591480156419002</v>
      </c>
      <c r="T99" s="140">
        <f t="shared" si="29"/>
        <v>46.39399284466261</v>
      </c>
      <c r="U99" s="143">
        <f t="shared" si="34"/>
        <v>43.47826086956522</v>
      </c>
      <c r="V99" s="6">
        <f t="shared" si="45"/>
        <v>466.98053955334547</v>
      </c>
      <c r="W99" s="6">
        <f t="shared" si="42"/>
        <v>906.5538896746825</v>
      </c>
      <c r="X99" s="6">
        <f t="shared" si="43"/>
        <v>20.850739462517698</v>
      </c>
      <c r="Y99" s="220">
        <f t="shared" si="35"/>
        <v>1</v>
      </c>
      <c r="Z99" s="60"/>
      <c r="AA99" s="4"/>
    </row>
    <row r="100" spans="1:27" ht="15.75" customHeight="1">
      <c r="A100" s="56"/>
      <c r="B100" s="62" t="s">
        <v>153</v>
      </c>
      <c r="C100" s="5"/>
      <c r="D100" s="5"/>
      <c r="E100" s="5"/>
      <c r="F100" s="5"/>
      <c r="G100" s="5"/>
      <c r="H100" s="85">
        <v>1</v>
      </c>
      <c r="I100" s="56"/>
      <c r="J100" s="128">
        <f t="shared" si="44"/>
        <v>0.3430693069306933</v>
      </c>
      <c r="K100" s="129">
        <f t="shared" si="36"/>
        <v>6.7020202020201936</v>
      </c>
      <c r="L100" s="130">
        <f t="shared" si="37"/>
        <v>-3.5</v>
      </c>
      <c r="M100" s="6">
        <f t="shared" si="38"/>
        <v>18.52574257425744</v>
      </c>
      <c r="N100" s="6">
        <f t="shared" si="39"/>
        <v>10.586138613861397</v>
      </c>
      <c r="O100" s="6">
        <f t="shared" si="33"/>
        <v>7.939603960396042</v>
      </c>
      <c r="P100" s="130">
        <f t="shared" si="46"/>
        <v>0.8095238095238095</v>
      </c>
      <c r="Q100" s="6">
        <f t="shared" si="40"/>
        <v>1019.7980198019809</v>
      </c>
      <c r="R100" s="130">
        <f t="shared" si="28"/>
        <v>10.819656377402456</v>
      </c>
      <c r="S100" s="130">
        <f t="shared" si="41"/>
        <v>0.857294700058241</v>
      </c>
      <c r="T100" s="140">
        <f t="shared" si="29"/>
        <v>46.29391380314502</v>
      </c>
      <c r="U100" s="143">
        <f t="shared" si="34"/>
        <v>43.47826086956522</v>
      </c>
      <c r="V100" s="6">
        <f t="shared" si="45"/>
        <v>472.1044162533088</v>
      </c>
      <c r="W100" s="6">
        <f t="shared" si="42"/>
        <v>919.7980198019809</v>
      </c>
      <c r="X100" s="6">
        <f t="shared" si="43"/>
        <v>21.15535445544556</v>
      </c>
      <c r="Y100" s="220">
        <f t="shared" si="35"/>
        <v>1</v>
      </c>
      <c r="Z100" s="60"/>
      <c r="AA100" s="4"/>
    </row>
    <row r="101" spans="1:27" ht="15.75" customHeight="1">
      <c r="A101" s="56"/>
      <c r="B101" s="107" t="s">
        <v>110</v>
      </c>
      <c r="C101" s="4"/>
      <c r="D101" s="4"/>
      <c r="E101" s="4"/>
      <c r="F101" s="4"/>
      <c r="G101" s="145">
        <f>E58/(E58-E15/G13*1000)</f>
        <v>0.6168582375478927</v>
      </c>
      <c r="H101" s="109">
        <f>G101</f>
        <v>0.6168582375478927</v>
      </c>
      <c r="I101" s="56"/>
      <c r="J101" s="128">
        <f t="shared" si="44"/>
        <v>0.3475247524752478</v>
      </c>
      <c r="K101" s="129">
        <f t="shared" si="36"/>
        <v>6.571225071225064</v>
      </c>
      <c r="L101" s="130">
        <f t="shared" si="37"/>
        <v>-3.5</v>
      </c>
      <c r="M101" s="6">
        <f t="shared" si="38"/>
        <v>18.76633663366338</v>
      </c>
      <c r="N101" s="6">
        <f t="shared" si="39"/>
        <v>10.72362093352193</v>
      </c>
      <c r="O101" s="6">
        <f t="shared" si="33"/>
        <v>8.042715700141448</v>
      </c>
      <c r="P101" s="130">
        <f t="shared" si="46"/>
        <v>0.8095238095238095</v>
      </c>
      <c r="Q101" s="6">
        <f t="shared" si="40"/>
        <v>1033.0421499292793</v>
      </c>
      <c r="R101" s="130">
        <f t="shared" si="28"/>
        <v>10.960171395290798</v>
      </c>
      <c r="S101" s="130">
        <f t="shared" si="41"/>
        <v>0.8554413844745818</v>
      </c>
      <c r="T101" s="140">
        <f t="shared" si="29"/>
        <v>46.19383476162742</v>
      </c>
      <c r="U101" s="143">
        <f t="shared" si="34"/>
        <v>43.47826086956522</v>
      </c>
      <c r="V101" s="6">
        <f t="shared" si="45"/>
        <v>477.2017837562947</v>
      </c>
      <c r="W101" s="6">
        <f t="shared" si="42"/>
        <v>933.0421499292793</v>
      </c>
      <c r="X101" s="6">
        <f t="shared" si="43"/>
        <v>21.45996944837342</v>
      </c>
      <c r="Y101" s="220">
        <f t="shared" si="35"/>
        <v>1</v>
      </c>
      <c r="Z101" s="60"/>
      <c r="AA101" s="4"/>
    </row>
    <row r="102" spans="1:27" ht="15.75" customHeight="1">
      <c r="A102" s="56"/>
      <c r="B102" s="107" t="s">
        <v>112</v>
      </c>
      <c r="C102" s="4"/>
      <c r="D102" s="4"/>
      <c r="E102" s="4"/>
      <c r="F102" s="4"/>
      <c r="G102" s="4"/>
      <c r="H102" s="109">
        <v>0.45</v>
      </c>
      <c r="I102" s="56"/>
      <c r="J102" s="128">
        <f t="shared" si="44"/>
        <v>0.35198019801980224</v>
      </c>
      <c r="K102" s="129">
        <f t="shared" si="36"/>
        <v>6.443741209563987</v>
      </c>
      <c r="L102" s="130">
        <f t="shared" si="37"/>
        <v>-3.5</v>
      </c>
      <c r="M102" s="6">
        <f t="shared" si="38"/>
        <v>19.00693069306932</v>
      </c>
      <c r="N102" s="6">
        <f t="shared" si="39"/>
        <v>10.861103253182469</v>
      </c>
      <c r="O102" s="6">
        <f t="shared" si="33"/>
        <v>8.145827439886853</v>
      </c>
      <c r="P102" s="130">
        <f t="shared" si="46"/>
        <v>0.8095238095238095</v>
      </c>
      <c r="Q102" s="6">
        <f t="shared" si="40"/>
        <v>1046.2862800565779</v>
      </c>
      <c r="R102" s="130">
        <f t="shared" si="28"/>
        <v>11.100686413179142</v>
      </c>
      <c r="S102" s="130">
        <f t="shared" si="41"/>
        <v>0.8535880688909225</v>
      </c>
      <c r="T102" s="140">
        <f t="shared" si="29"/>
        <v>46.09375572010982</v>
      </c>
      <c r="U102" s="143">
        <f t="shared" si="34"/>
        <v>43.47826086956522</v>
      </c>
      <c r="V102" s="6">
        <f t="shared" si="45"/>
        <v>482.27264206230313</v>
      </c>
      <c r="W102" s="6">
        <f t="shared" si="42"/>
        <v>946.2862800565779</v>
      </c>
      <c r="X102" s="6">
        <f t="shared" si="43"/>
        <v>21.76458444130129</v>
      </c>
      <c r="Y102" s="220">
        <f t="shared" si="35"/>
        <v>1</v>
      </c>
      <c r="Z102" s="60"/>
      <c r="AA102" s="4"/>
    </row>
    <row r="103" spans="1:27" ht="15.75" customHeight="1">
      <c r="A103" s="56"/>
      <c r="B103" s="107" t="s">
        <v>111</v>
      </c>
      <c r="C103" s="4"/>
      <c r="D103" s="4"/>
      <c r="E103" s="4"/>
      <c r="F103" s="4"/>
      <c r="G103" s="4"/>
      <c r="H103" s="109">
        <v>0.35</v>
      </c>
      <c r="I103" s="56"/>
      <c r="J103" s="128">
        <f t="shared" si="44"/>
        <v>0.3564356435643567</v>
      </c>
      <c r="K103" s="129">
        <f t="shared" si="36"/>
        <v>6.319444444444437</v>
      </c>
      <c r="L103" s="130">
        <f t="shared" si="37"/>
        <v>-3.5</v>
      </c>
      <c r="M103" s="6">
        <f t="shared" si="38"/>
        <v>19.24752475247526</v>
      </c>
      <c r="N103" s="6">
        <f t="shared" si="39"/>
        <v>10.998585572843009</v>
      </c>
      <c r="O103" s="6">
        <f t="shared" si="33"/>
        <v>8.248939179632252</v>
      </c>
      <c r="P103" s="130">
        <f t="shared" si="46"/>
        <v>0.8095238095238095</v>
      </c>
      <c r="Q103" s="6">
        <f t="shared" si="40"/>
        <v>1059.5304101838763</v>
      </c>
      <c r="R103" s="130">
        <f t="shared" si="28"/>
        <v>11.241201431067486</v>
      </c>
      <c r="S103" s="130">
        <f t="shared" si="41"/>
        <v>0.8517347533072636</v>
      </c>
      <c r="T103" s="140">
        <f t="shared" si="29"/>
        <v>45.99367667859223</v>
      </c>
      <c r="U103" s="143">
        <f t="shared" si="34"/>
        <v>43.47826086956522</v>
      </c>
      <c r="V103" s="6">
        <f t="shared" si="45"/>
        <v>487.3169911713341</v>
      </c>
      <c r="W103" s="6">
        <f t="shared" si="42"/>
        <v>959.5304101838763</v>
      </c>
      <c r="X103" s="6">
        <f t="shared" si="43"/>
        <v>22.06919943422915</v>
      </c>
      <c r="Y103" s="220">
        <f t="shared" si="35"/>
        <v>1</v>
      </c>
      <c r="Z103" s="60"/>
      <c r="AA103" s="4"/>
    </row>
    <row r="104" spans="1:27" ht="15.75" customHeight="1" thickBot="1">
      <c r="A104" s="56"/>
      <c r="B104" s="110" t="s">
        <v>109</v>
      </c>
      <c r="C104" s="92"/>
      <c r="D104" s="92"/>
      <c r="E104" s="92"/>
      <c r="F104" s="92"/>
      <c r="G104" s="92"/>
      <c r="H104" s="111">
        <v>0.25</v>
      </c>
      <c r="I104" s="56"/>
      <c r="J104" s="128">
        <f t="shared" si="44"/>
        <v>0.36089108910891116</v>
      </c>
      <c r="K104" s="129">
        <f t="shared" si="36"/>
        <v>6.198216735253764</v>
      </c>
      <c r="L104" s="130">
        <f t="shared" si="37"/>
        <v>-3.5</v>
      </c>
      <c r="M104" s="6">
        <f t="shared" si="38"/>
        <v>19.488118811881204</v>
      </c>
      <c r="N104" s="6">
        <f t="shared" si="39"/>
        <v>11.136067892503544</v>
      </c>
      <c r="O104" s="6">
        <f t="shared" si="33"/>
        <v>8.35205091937766</v>
      </c>
      <c r="P104" s="130">
        <f t="shared" si="46"/>
        <v>0.8095238095238095</v>
      </c>
      <c r="Q104" s="6">
        <f t="shared" si="40"/>
        <v>1072.7745403111749</v>
      </c>
      <c r="R104" s="130">
        <f t="shared" si="28"/>
        <v>11.38171644895583</v>
      </c>
      <c r="S104" s="130">
        <f t="shared" si="41"/>
        <v>0.849881437723604</v>
      </c>
      <c r="T104" s="140">
        <f t="shared" si="29"/>
        <v>45.89359763707462</v>
      </c>
      <c r="U104" s="143">
        <f t="shared" si="34"/>
        <v>43.47826086956522</v>
      </c>
      <c r="V104" s="6">
        <f t="shared" si="45"/>
        <v>492.3348310833875</v>
      </c>
      <c r="W104" s="6">
        <f t="shared" si="42"/>
        <v>972.7745403111749</v>
      </c>
      <c r="X104" s="6">
        <f t="shared" si="43"/>
        <v>22.373814427157022</v>
      </c>
      <c r="Y104" s="220">
        <f t="shared" si="35"/>
        <v>1</v>
      </c>
      <c r="Z104" s="60"/>
      <c r="AA104" s="4"/>
    </row>
    <row r="105" spans="1:27" ht="15.75" customHeight="1" thickBot="1">
      <c r="A105" s="56"/>
      <c r="B105" s="56"/>
      <c r="C105" s="56"/>
      <c r="D105" s="56"/>
      <c r="E105" s="56"/>
      <c r="F105" s="56"/>
      <c r="G105" s="56"/>
      <c r="H105" s="56"/>
      <c r="I105" s="56"/>
      <c r="J105" s="128">
        <f t="shared" si="44"/>
        <v>0.3653465346534656</v>
      </c>
      <c r="K105" s="129">
        <f t="shared" si="36"/>
        <v>6.079945799457986</v>
      </c>
      <c r="L105" s="130">
        <f t="shared" si="37"/>
        <v>-3.5</v>
      </c>
      <c r="M105" s="6">
        <f t="shared" si="38"/>
        <v>19.728712871287144</v>
      </c>
      <c r="N105" s="6">
        <f t="shared" si="39"/>
        <v>11.273550212164084</v>
      </c>
      <c r="O105" s="6">
        <f t="shared" si="33"/>
        <v>8.45516265912306</v>
      </c>
      <c r="P105" s="130">
        <f t="shared" si="46"/>
        <v>0.8095238095238095</v>
      </c>
      <c r="Q105" s="6">
        <f t="shared" si="40"/>
        <v>1086.0186704384732</v>
      </c>
      <c r="R105" s="130">
        <f t="shared" si="28"/>
        <v>11.52223146684417</v>
      </c>
      <c r="S105" s="130">
        <f t="shared" si="41"/>
        <v>0.8480281221399449</v>
      </c>
      <c r="T105" s="140">
        <f t="shared" si="29"/>
        <v>45.793518595557025</v>
      </c>
      <c r="U105" s="143">
        <f t="shared" si="34"/>
        <v>43.47826086956522</v>
      </c>
      <c r="V105" s="6">
        <f t="shared" si="45"/>
        <v>497.32616179846343</v>
      </c>
      <c r="W105" s="6">
        <f t="shared" si="42"/>
        <v>986.0186704384732</v>
      </c>
      <c r="X105" s="6">
        <f t="shared" si="43"/>
        <v>22.678429420084885</v>
      </c>
      <c r="Y105" s="220">
        <f t="shared" si="35"/>
        <v>1</v>
      </c>
      <c r="Z105" s="60"/>
      <c r="AA105" s="4"/>
    </row>
    <row r="106" spans="1:27" ht="15.75" customHeight="1">
      <c r="A106" s="56"/>
      <c r="B106" s="84" t="s">
        <v>158</v>
      </c>
      <c r="C106" s="58"/>
      <c r="D106" s="58"/>
      <c r="E106" s="58"/>
      <c r="F106" s="58"/>
      <c r="G106" s="58"/>
      <c r="H106" s="59"/>
      <c r="I106" s="56"/>
      <c r="J106" s="128">
        <f t="shared" si="44"/>
        <v>0.3698019801980201</v>
      </c>
      <c r="K106" s="129">
        <f t="shared" si="36"/>
        <v>5.9645247657295775</v>
      </c>
      <c r="L106" s="130">
        <f t="shared" si="37"/>
        <v>-3.5</v>
      </c>
      <c r="M106" s="6">
        <f t="shared" si="38"/>
        <v>19.969306930693083</v>
      </c>
      <c r="N106" s="6">
        <f t="shared" si="39"/>
        <v>11.411032531824622</v>
      </c>
      <c r="O106" s="6">
        <f t="shared" si="33"/>
        <v>8.55827439886846</v>
      </c>
      <c r="P106" s="130">
        <f t="shared" si="46"/>
        <v>0.8095238095238095</v>
      </c>
      <c r="Q106" s="6">
        <f t="shared" si="40"/>
        <v>1099.2628005657716</v>
      </c>
      <c r="R106" s="130">
        <f t="shared" si="28"/>
        <v>11.662746484732516</v>
      </c>
      <c r="S106" s="130">
        <f t="shared" si="41"/>
        <v>0.8461748065562859</v>
      </c>
      <c r="T106" s="140">
        <f t="shared" si="29"/>
        <v>45.693439554039436</v>
      </c>
      <c r="U106" s="143">
        <f t="shared" si="34"/>
        <v>43.47826086956522</v>
      </c>
      <c r="V106" s="6">
        <f t="shared" si="45"/>
        <v>502.2909833165619</v>
      </c>
      <c r="W106" s="6">
        <f t="shared" si="42"/>
        <v>999.2628005657716</v>
      </c>
      <c r="X106" s="6">
        <f t="shared" si="43"/>
        <v>22.983044413012745</v>
      </c>
      <c r="Y106" s="220">
        <f t="shared" si="35"/>
        <v>1</v>
      </c>
      <c r="Z106" s="60"/>
      <c r="AA106" s="4"/>
    </row>
    <row r="107" spans="1:27" ht="15.75" customHeight="1">
      <c r="A107" s="56"/>
      <c r="B107" s="80" t="s">
        <v>159</v>
      </c>
      <c r="C107" s="4"/>
      <c r="D107" s="4"/>
      <c r="E107" s="4" t="s">
        <v>160</v>
      </c>
      <c r="F107" s="4"/>
      <c r="G107" s="4"/>
      <c r="H107" s="135"/>
      <c r="I107" s="56"/>
      <c r="J107" s="128">
        <f t="shared" si="44"/>
        <v>0.37425742574257453</v>
      </c>
      <c r="K107" s="129">
        <f t="shared" si="36"/>
        <v>5.851851851851844</v>
      </c>
      <c r="L107" s="130">
        <f t="shared" si="37"/>
        <v>-3.5</v>
      </c>
      <c r="M107" s="6">
        <f t="shared" si="38"/>
        <v>20.209900990099026</v>
      </c>
      <c r="N107" s="6">
        <f t="shared" si="39"/>
        <v>11.548514851485157</v>
      </c>
      <c r="O107" s="6">
        <f t="shared" si="33"/>
        <v>8.661386138613869</v>
      </c>
      <c r="P107" s="130">
        <f t="shared" si="46"/>
        <v>0.8095238095238095</v>
      </c>
      <c r="Q107" s="6">
        <f t="shared" si="40"/>
        <v>1112.50693069307</v>
      </c>
      <c r="R107" s="130">
        <f t="shared" si="28"/>
        <v>11.803261502620861</v>
      </c>
      <c r="S107" s="130">
        <f t="shared" si="41"/>
        <v>0.8443214909726265</v>
      </c>
      <c r="T107" s="140">
        <f t="shared" si="29"/>
        <v>45.59336051252183</v>
      </c>
      <c r="U107" s="143">
        <f t="shared" si="34"/>
        <v>43.47826086956522</v>
      </c>
      <c r="V107" s="6">
        <f t="shared" si="45"/>
        <v>507.2292956376828</v>
      </c>
      <c r="W107" s="6">
        <f t="shared" si="42"/>
        <v>1012.50693069307</v>
      </c>
      <c r="X107" s="6">
        <f t="shared" si="43"/>
        <v>23.28765940594061</v>
      </c>
      <c r="Y107" s="220">
        <f t="shared" si="35"/>
        <v>1</v>
      </c>
      <c r="Z107" s="60"/>
      <c r="AA107" s="4"/>
    </row>
    <row r="108" spans="1:27" ht="15.75" customHeight="1">
      <c r="A108" s="56"/>
      <c r="B108" s="198">
        <f>E58</f>
        <v>-3.5</v>
      </c>
      <c r="C108" s="158">
        <f>C110</f>
        <v>-30</v>
      </c>
      <c r="D108" s="4"/>
      <c r="E108" s="5" t="s">
        <v>117</v>
      </c>
      <c r="F108" s="5"/>
      <c r="G108" s="4"/>
      <c r="H108" s="135"/>
      <c r="I108" s="56"/>
      <c r="J108" s="128">
        <f t="shared" si="44"/>
        <v>0.378712871287129</v>
      </c>
      <c r="K108" s="129">
        <f t="shared" si="36"/>
        <v>5.741830065359469</v>
      </c>
      <c r="L108" s="130">
        <f t="shared" si="37"/>
        <v>-3.5</v>
      </c>
      <c r="M108" s="6">
        <f t="shared" si="38"/>
        <v>20.450495049504966</v>
      </c>
      <c r="N108" s="6">
        <f t="shared" si="39"/>
        <v>11.685997171145697</v>
      </c>
      <c r="O108" s="6">
        <f t="shared" si="33"/>
        <v>8.764497878359268</v>
      </c>
      <c r="P108" s="130">
        <f t="shared" si="46"/>
        <v>0.8095238095238095</v>
      </c>
      <c r="Q108" s="6">
        <f t="shared" si="40"/>
        <v>1125.7510608203686</v>
      </c>
      <c r="R108" s="130">
        <f t="shared" si="28"/>
        <v>11.943776520509202</v>
      </c>
      <c r="S108" s="130">
        <f t="shared" si="41"/>
        <v>0.8424681753889673</v>
      </c>
      <c r="T108" s="140">
        <f t="shared" si="29"/>
        <v>45.49328147100424</v>
      </c>
      <c r="U108" s="143">
        <f t="shared" si="34"/>
        <v>43.47826086956522</v>
      </c>
      <c r="V108" s="6">
        <f t="shared" si="45"/>
        <v>512.1410987618264</v>
      </c>
      <c r="W108" s="6">
        <f t="shared" si="42"/>
        <v>1025.7510608203686</v>
      </c>
      <c r="X108" s="6">
        <f t="shared" si="43"/>
        <v>23.592274398868476</v>
      </c>
      <c r="Y108" s="220">
        <f t="shared" si="35"/>
        <v>1</v>
      </c>
      <c r="Z108" s="60"/>
      <c r="AA108" s="4"/>
    </row>
    <row r="109" spans="1:27" ht="15.75" customHeight="1">
      <c r="A109" s="56"/>
      <c r="B109" s="199">
        <f>3.5/H98-3.5</f>
        <v>4.277777777777778</v>
      </c>
      <c r="C109" s="160">
        <f>C111</f>
        <v>24</v>
      </c>
      <c r="D109" s="4"/>
      <c r="E109" s="157">
        <v>0</v>
      </c>
      <c r="F109" s="158">
        <f>-K4/2+ROben</f>
        <v>-25</v>
      </c>
      <c r="G109" s="4"/>
      <c r="H109" s="135"/>
      <c r="I109" s="56"/>
      <c r="J109" s="128">
        <f t="shared" si="44"/>
        <v>0.38316831683168345</v>
      </c>
      <c r="K109" s="129">
        <f t="shared" si="36"/>
        <v>5.634366925064593</v>
      </c>
      <c r="L109" s="130">
        <f t="shared" si="37"/>
        <v>-3.5</v>
      </c>
      <c r="M109" s="6">
        <f t="shared" si="38"/>
        <v>20.691089108910905</v>
      </c>
      <c r="N109" s="6">
        <f t="shared" si="39"/>
        <v>11.823479490806234</v>
      </c>
      <c r="O109" s="6">
        <f t="shared" si="33"/>
        <v>8.867609618104671</v>
      </c>
      <c r="P109" s="130">
        <f t="shared" si="46"/>
        <v>0.8095238095238095</v>
      </c>
      <c r="Q109" s="6">
        <f t="shared" si="40"/>
        <v>1138.995190947667</v>
      </c>
      <c r="R109" s="130">
        <f aca="true" t="shared" si="47" ref="R109:R124">IF(O109=0,(0.5*M109^2+N109^2/($F$58+2)*(1-(1-M109/N109)^($F$58+2))+N109^2/($F$58+1)*(-1+(1-M109/N109)^($F$58+1)))/(M109+N109/($F$58+1)*(-1+(1-M109/N109)^($F$58+1))),(N109*(1/($F$58+2)-1/($F$58+1)+0.5*M109^2/N109^2)/(M109/N109-1/($F$58+1))))</f>
        <v>12.084291538397547</v>
      </c>
      <c r="S109" s="130">
        <f t="shared" si="41"/>
        <v>0.8406148598053084</v>
      </c>
      <c r="T109" s="140">
        <f aca="true" t="shared" si="48" ref="T109:T124">$M$4-M109+R109</f>
        <v>45.39320242948665</v>
      </c>
      <c r="U109" s="143">
        <f t="shared" si="34"/>
        <v>43.47826086956522</v>
      </c>
      <c r="V109" s="6">
        <f t="shared" si="45"/>
        <v>517.0263926889925</v>
      </c>
      <c r="W109" s="6">
        <f t="shared" si="42"/>
        <v>1038.995190947667</v>
      </c>
      <c r="X109" s="6">
        <f t="shared" si="43"/>
        <v>23.89688939179634</v>
      </c>
      <c r="Y109" s="220">
        <f t="shared" si="35"/>
        <v>1</v>
      </c>
      <c r="Z109" s="60"/>
      <c r="AA109" s="4"/>
    </row>
    <row r="110" spans="1:27" ht="15.75" customHeight="1">
      <c r="A110" s="56"/>
      <c r="B110" s="200">
        <f>L21</f>
        <v>-3.5</v>
      </c>
      <c r="C110" s="161">
        <f>-K4/2</f>
        <v>-30</v>
      </c>
      <c r="D110" s="4"/>
      <c r="E110" s="159">
        <f>T12</f>
        <v>0</v>
      </c>
      <c r="F110" s="160">
        <f>F109</f>
        <v>-25</v>
      </c>
      <c r="G110" s="4"/>
      <c r="H110" s="135"/>
      <c r="I110" s="56"/>
      <c r="J110" s="128">
        <f t="shared" si="44"/>
        <v>0.3876237623762379</v>
      </c>
      <c r="K110" s="129">
        <f t="shared" si="36"/>
        <v>5.529374201787988</v>
      </c>
      <c r="L110" s="130">
        <f t="shared" si="37"/>
        <v>-3.5</v>
      </c>
      <c r="M110" s="6">
        <f t="shared" si="38"/>
        <v>20.931683168316848</v>
      </c>
      <c r="N110" s="6">
        <f t="shared" si="39"/>
        <v>11.960961810466769</v>
      </c>
      <c r="O110" s="6">
        <f t="shared" si="33"/>
        <v>8.97072135785008</v>
      </c>
      <c r="P110" s="130">
        <f t="shared" si="46"/>
        <v>0.8095238095238095</v>
      </c>
      <c r="Q110" s="6">
        <f t="shared" si="40"/>
        <v>1152.2393210749653</v>
      </c>
      <c r="R110" s="130">
        <f t="shared" si="47"/>
        <v>12.224806556285891</v>
      </c>
      <c r="S110" s="130">
        <f t="shared" si="41"/>
        <v>0.8387615442216488</v>
      </c>
      <c r="T110" s="140">
        <f t="shared" si="48"/>
        <v>45.29312338796904</v>
      </c>
      <c r="U110" s="143">
        <f t="shared" si="34"/>
        <v>43.47826086956522</v>
      </c>
      <c r="V110" s="6">
        <f t="shared" si="45"/>
        <v>521.8851774191809</v>
      </c>
      <c r="W110" s="6">
        <f t="shared" si="42"/>
        <v>1052.2393210749653</v>
      </c>
      <c r="X110" s="6">
        <f t="shared" si="43"/>
        <v>24.201504384724203</v>
      </c>
      <c r="Y110" s="220">
        <f t="shared" si="35"/>
        <v>1</v>
      </c>
      <c r="Z110" s="60"/>
      <c r="AA110" s="4"/>
    </row>
    <row r="111" spans="1:27" ht="15.75" customHeight="1">
      <c r="A111" s="56"/>
      <c r="B111" s="199">
        <f>K21</f>
        <v>15.203703703703688</v>
      </c>
      <c r="C111" s="160">
        <f>K4/2-RUnten</f>
        <v>24</v>
      </c>
      <c r="D111" s="4"/>
      <c r="E111" s="32" t="s">
        <v>118</v>
      </c>
      <c r="F111" s="32"/>
      <c r="G111" s="4"/>
      <c r="H111" s="135"/>
      <c r="I111" s="56"/>
      <c r="J111" s="128">
        <f t="shared" si="44"/>
        <v>0.39207920792079237</v>
      </c>
      <c r="K111" s="129">
        <f t="shared" si="36"/>
        <v>5.426767676767669</v>
      </c>
      <c r="L111" s="130">
        <f t="shared" si="37"/>
        <v>-3.5</v>
      </c>
      <c r="M111" s="6">
        <f t="shared" si="38"/>
        <v>21.172277227722788</v>
      </c>
      <c r="N111" s="6">
        <f t="shared" si="39"/>
        <v>12.09844413012731</v>
      </c>
      <c r="O111" s="6">
        <f t="shared" si="33"/>
        <v>9.073833097595477</v>
      </c>
      <c r="P111" s="130">
        <f t="shared" si="46"/>
        <v>0.8095238095238095</v>
      </c>
      <c r="Q111" s="6">
        <f t="shared" si="40"/>
        <v>1165.4834512022642</v>
      </c>
      <c r="R111" s="130">
        <f t="shared" si="47"/>
        <v>12.365321574174232</v>
      </c>
      <c r="S111" s="130">
        <f t="shared" si="41"/>
        <v>0.8369082286379897</v>
      </c>
      <c r="T111" s="140">
        <f t="shared" si="48"/>
        <v>45.193044346451444</v>
      </c>
      <c r="U111" s="143">
        <f t="shared" si="34"/>
        <v>43.47826086956522</v>
      </c>
      <c r="V111" s="6">
        <f t="shared" si="45"/>
        <v>526.717452952392</v>
      </c>
      <c r="W111" s="6">
        <f t="shared" si="42"/>
        <v>1065.4834512022642</v>
      </c>
      <c r="X111" s="6">
        <f t="shared" si="43"/>
        <v>24.506119377652077</v>
      </c>
      <c r="Y111" s="220">
        <f t="shared" si="35"/>
        <v>1</v>
      </c>
      <c r="Z111" s="60"/>
      <c r="AA111" s="4"/>
    </row>
    <row r="112" spans="1:27" ht="15.75" customHeight="1">
      <c r="A112" s="56"/>
      <c r="B112" s="200">
        <f>B111</f>
        <v>15.203703703703688</v>
      </c>
      <c r="C112" s="161">
        <f>C111</f>
        <v>24</v>
      </c>
      <c r="D112" s="4"/>
      <c r="E112" s="157">
        <v>0</v>
      </c>
      <c r="F112" s="158">
        <f>K4/2-RUnten</f>
        <v>24</v>
      </c>
      <c r="G112" s="4"/>
      <c r="H112" s="135"/>
      <c r="I112" s="56"/>
      <c r="J112" s="128">
        <f t="shared" si="44"/>
        <v>0.39653465346534683</v>
      </c>
      <c r="K112" s="129">
        <f t="shared" si="36"/>
        <v>5.3264669163545495</v>
      </c>
      <c r="L112" s="130">
        <f t="shared" si="37"/>
        <v>-3.5</v>
      </c>
      <c r="M112" s="6">
        <f t="shared" si="38"/>
        <v>21.41287128712873</v>
      </c>
      <c r="N112" s="6">
        <f t="shared" si="39"/>
        <v>12.235926449787845</v>
      </c>
      <c r="O112" s="6">
        <f t="shared" si="33"/>
        <v>9.176944837340885</v>
      </c>
      <c r="P112" s="130">
        <f t="shared" si="46"/>
        <v>0.8095238095238095</v>
      </c>
      <c r="Q112" s="6">
        <f t="shared" si="40"/>
        <v>1178.7275813295626</v>
      </c>
      <c r="R112" s="130">
        <f t="shared" si="47"/>
        <v>12.505836592062579</v>
      </c>
      <c r="S112" s="130">
        <f t="shared" si="41"/>
        <v>0.8350549130543305</v>
      </c>
      <c r="T112" s="140">
        <f t="shared" si="48"/>
        <v>45.09296530493385</v>
      </c>
      <c r="U112" s="143">
        <f t="shared" si="34"/>
        <v>43.47826086956522</v>
      </c>
      <c r="V112" s="6">
        <f t="shared" si="45"/>
        <v>531.5232192886256</v>
      </c>
      <c r="W112" s="6">
        <f t="shared" si="42"/>
        <v>1078.7275813295626</v>
      </c>
      <c r="X112" s="6">
        <f t="shared" si="43"/>
        <v>24.810734370579937</v>
      </c>
      <c r="Y112" s="220">
        <f t="shared" si="35"/>
        <v>1</v>
      </c>
      <c r="Z112" s="60"/>
      <c r="AA112" s="4"/>
    </row>
    <row r="113" spans="1:27" ht="15.75" customHeight="1">
      <c r="A113" s="56"/>
      <c r="B113" s="199">
        <v>0</v>
      </c>
      <c r="C113" s="160">
        <f>C112</f>
        <v>24</v>
      </c>
      <c r="D113" s="4"/>
      <c r="E113" s="159">
        <f>T13</f>
        <v>456.253465346535</v>
      </c>
      <c r="F113" s="160">
        <f>F112</f>
        <v>24</v>
      </c>
      <c r="G113" s="4"/>
      <c r="H113" s="135"/>
      <c r="I113" s="56"/>
      <c r="J113" s="128">
        <f t="shared" si="44"/>
        <v>0.4009900990099013</v>
      </c>
      <c r="K113" s="129">
        <f t="shared" si="36"/>
        <v>5.228395061728388</v>
      </c>
      <c r="L113" s="130">
        <f t="shared" si="37"/>
        <v>-3.5</v>
      </c>
      <c r="M113" s="6">
        <f t="shared" si="38"/>
        <v>21.65346534653467</v>
      </c>
      <c r="N113" s="6">
        <f t="shared" si="39"/>
        <v>12.373408769448382</v>
      </c>
      <c r="O113" s="6">
        <f t="shared" si="33"/>
        <v>9.280056577086288</v>
      </c>
      <c r="P113" s="130">
        <f t="shared" si="46"/>
        <v>0.8095238095238095</v>
      </c>
      <c r="Q113" s="6">
        <f t="shared" si="40"/>
        <v>1191.971711456861</v>
      </c>
      <c r="R113" s="130">
        <f t="shared" si="47"/>
        <v>12.64635160995092</v>
      </c>
      <c r="S113" s="130">
        <f t="shared" si="41"/>
        <v>0.8332015974706712</v>
      </c>
      <c r="T113" s="140">
        <f t="shared" si="48"/>
        <v>44.992886263416246</v>
      </c>
      <c r="U113" s="143">
        <f t="shared" si="34"/>
        <v>43.47826086956522</v>
      </c>
      <c r="V113" s="6">
        <f t="shared" si="45"/>
        <v>536.3024764278815</v>
      </c>
      <c r="W113" s="6">
        <f t="shared" si="42"/>
        <v>1091.971711456861</v>
      </c>
      <c r="X113" s="6">
        <f t="shared" si="43"/>
        <v>25.1153493635078</v>
      </c>
      <c r="Y113" s="220">
        <f t="shared" si="35"/>
        <v>1</v>
      </c>
      <c r="Z113" s="60"/>
      <c r="AA113" s="4"/>
    </row>
    <row r="114" spans="1:27" ht="15.75" customHeight="1">
      <c r="A114" s="56"/>
      <c r="B114" s="62"/>
      <c r="C114" s="5"/>
      <c r="D114" s="4"/>
      <c r="E114" s="32" t="s">
        <v>170</v>
      </c>
      <c r="F114" s="32"/>
      <c r="G114" s="4"/>
      <c r="H114" s="135"/>
      <c r="I114" s="56"/>
      <c r="J114" s="128">
        <f t="shared" si="44"/>
        <v>0.40544554455445575</v>
      </c>
      <c r="K114" s="129">
        <f t="shared" si="36"/>
        <v>5.132478632478626</v>
      </c>
      <c r="L114" s="130">
        <f t="shared" si="37"/>
        <v>-3.5</v>
      </c>
      <c r="M114" s="6">
        <f t="shared" si="38"/>
        <v>21.89405940594061</v>
      </c>
      <c r="N114" s="6">
        <f t="shared" si="39"/>
        <v>12.51089108910892</v>
      </c>
      <c r="O114" s="6">
        <f t="shared" si="33"/>
        <v>9.38316831683169</v>
      </c>
      <c r="P114" s="130">
        <f t="shared" si="46"/>
        <v>0.8095238095238095</v>
      </c>
      <c r="Q114" s="6">
        <f t="shared" si="40"/>
        <v>1205.2158415841593</v>
      </c>
      <c r="R114" s="130">
        <f t="shared" si="47"/>
        <v>12.786866627839263</v>
      </c>
      <c r="S114" s="130">
        <f t="shared" si="41"/>
        <v>0.831348281887012</v>
      </c>
      <c r="T114" s="140">
        <f t="shared" si="48"/>
        <v>44.89280722189865</v>
      </c>
      <c r="U114" s="143">
        <f t="shared" si="34"/>
        <v>43.47826086956522</v>
      </c>
      <c r="V114" s="6">
        <f t="shared" si="45"/>
        <v>541.0552243701601</v>
      </c>
      <c r="W114" s="6">
        <f t="shared" si="42"/>
        <v>1105.2158415841593</v>
      </c>
      <c r="X114" s="6">
        <f t="shared" si="43"/>
        <v>25.419964356435663</v>
      </c>
      <c r="Y114" s="220">
        <f t="shared" si="35"/>
        <v>1</v>
      </c>
      <c r="Z114" s="60"/>
      <c r="AA114" s="4"/>
    </row>
    <row r="115" spans="1:27" ht="15.75" customHeight="1">
      <c r="A115" s="56"/>
      <c r="B115" s="62"/>
      <c r="C115" s="5"/>
      <c r="D115" s="4"/>
      <c r="E115" s="157">
        <v>0</v>
      </c>
      <c r="F115" s="158">
        <f>-K4/2+P14</f>
        <v>-25.796680256260913</v>
      </c>
      <c r="G115" s="4"/>
      <c r="H115" s="135"/>
      <c r="I115" s="56"/>
      <c r="J115" s="128">
        <f t="shared" si="44"/>
        <v>0.4099009900990102</v>
      </c>
      <c r="K115" s="129">
        <f t="shared" si="36"/>
        <v>5.038647342995162</v>
      </c>
      <c r="L115" s="130">
        <f t="shared" si="37"/>
        <v>-3.5</v>
      </c>
      <c r="M115" s="6">
        <f t="shared" si="38"/>
        <v>22.134653465346553</v>
      </c>
      <c r="N115" s="6">
        <f t="shared" si="39"/>
        <v>12.648373408769459</v>
      </c>
      <c r="O115" s="6">
        <f t="shared" si="33"/>
        <v>9.486280056577094</v>
      </c>
      <c r="P115" s="130">
        <f t="shared" si="46"/>
        <v>0.8095238095238095</v>
      </c>
      <c r="Q115" s="6">
        <f t="shared" si="40"/>
        <v>1218.459971711458</v>
      </c>
      <c r="R115" s="130">
        <f t="shared" si="47"/>
        <v>12.927381645727605</v>
      </c>
      <c r="S115" s="130">
        <f t="shared" si="41"/>
        <v>0.8294949663033528</v>
      </c>
      <c r="T115" s="140">
        <f t="shared" si="48"/>
        <v>44.792728180381054</v>
      </c>
      <c r="U115" s="143">
        <f t="shared" si="34"/>
        <v>43.47826086956522</v>
      </c>
      <c r="V115" s="6">
        <f t="shared" si="45"/>
        <v>545.7814631154612</v>
      </c>
      <c r="W115" s="6">
        <f t="shared" si="42"/>
        <v>1118.459971711458</v>
      </c>
      <c r="X115" s="6">
        <f t="shared" si="43"/>
        <v>25.72457934936353</v>
      </c>
      <c r="Y115" s="220">
        <f t="shared" si="35"/>
        <v>1</v>
      </c>
      <c r="Z115" s="60"/>
      <c r="AA115" s="4"/>
    </row>
    <row r="116" spans="1:27" ht="15.75" customHeight="1">
      <c r="A116" s="56"/>
      <c r="B116" s="62"/>
      <c r="C116" s="5"/>
      <c r="D116" s="4"/>
      <c r="E116" s="159">
        <f>R18</f>
        <v>-556.253465346535</v>
      </c>
      <c r="F116" s="160">
        <f>F115</f>
        <v>-25.796680256260913</v>
      </c>
      <c r="G116" s="4"/>
      <c r="H116" s="135"/>
      <c r="I116" s="56"/>
      <c r="J116" s="128">
        <f t="shared" si="44"/>
        <v>0.41435643564356467</v>
      </c>
      <c r="K116" s="129">
        <f t="shared" si="36"/>
        <v>4.946833930704892</v>
      </c>
      <c r="L116" s="130">
        <f t="shared" si="37"/>
        <v>-3.5</v>
      </c>
      <c r="M116" s="6">
        <f t="shared" si="38"/>
        <v>22.375247524752492</v>
      </c>
      <c r="N116" s="6">
        <f t="shared" si="39"/>
        <v>12.785855728429997</v>
      </c>
      <c r="O116" s="6">
        <f t="shared" si="33"/>
        <v>9.589391796322495</v>
      </c>
      <c r="P116" s="130">
        <f t="shared" si="46"/>
        <v>0.8095238095238095</v>
      </c>
      <c r="Q116" s="6">
        <f t="shared" si="40"/>
        <v>1231.7041018387563</v>
      </c>
      <c r="R116" s="130">
        <f t="shared" si="47"/>
        <v>13.067896663615949</v>
      </c>
      <c r="S116" s="130">
        <f t="shared" si="41"/>
        <v>0.8276416507196936</v>
      </c>
      <c r="T116" s="140">
        <f t="shared" si="48"/>
        <v>44.69264913886346</v>
      </c>
      <c r="U116" s="143">
        <f t="shared" si="34"/>
        <v>43.47826086956522</v>
      </c>
      <c r="V116" s="6">
        <f t="shared" si="45"/>
        <v>550.4811926637848</v>
      </c>
      <c r="W116" s="6">
        <f t="shared" si="42"/>
        <v>1131.7041018387563</v>
      </c>
      <c r="X116" s="6">
        <f t="shared" si="43"/>
        <v>26.029194342291394</v>
      </c>
      <c r="Y116" s="220">
        <f t="shared" si="35"/>
        <v>1</v>
      </c>
      <c r="Z116" s="60"/>
      <c r="AA116" s="4"/>
    </row>
    <row r="117" spans="1:27" ht="15.75" customHeight="1">
      <c r="A117" s="56"/>
      <c r="B117" s="62"/>
      <c r="C117" s="5"/>
      <c r="D117" s="4"/>
      <c r="G117" s="4"/>
      <c r="H117" s="135"/>
      <c r="I117" s="56"/>
      <c r="J117" s="128">
        <f t="shared" si="44"/>
        <v>0.41881188118811913</v>
      </c>
      <c r="K117" s="129">
        <f t="shared" si="36"/>
        <v>4.856973995271861</v>
      </c>
      <c r="L117" s="130">
        <f t="shared" si="37"/>
        <v>-3.5</v>
      </c>
      <c r="M117" s="6">
        <f t="shared" si="38"/>
        <v>22.61584158415843</v>
      </c>
      <c r="N117" s="6">
        <f t="shared" si="39"/>
        <v>12.923338048090534</v>
      </c>
      <c r="O117" s="6">
        <f t="shared" si="33"/>
        <v>9.692503536067898</v>
      </c>
      <c r="P117" s="130">
        <f t="shared" si="46"/>
        <v>0.8095238095238095</v>
      </c>
      <c r="Q117" s="6">
        <f t="shared" si="40"/>
        <v>1244.9482319660544</v>
      </c>
      <c r="R117" s="130">
        <f t="shared" si="47"/>
        <v>13.208411681504295</v>
      </c>
      <c r="S117" s="130">
        <f t="shared" si="41"/>
        <v>0.8257883351360346</v>
      </c>
      <c r="T117" s="140">
        <f t="shared" si="48"/>
        <v>44.59257009734586</v>
      </c>
      <c r="U117" s="143">
        <f t="shared" si="34"/>
        <v>43.47826086956522</v>
      </c>
      <c r="V117" s="6">
        <f t="shared" si="45"/>
        <v>555.1544130151308</v>
      </c>
      <c r="W117" s="6">
        <f t="shared" si="42"/>
        <v>1144.9482319660544</v>
      </c>
      <c r="X117" s="6">
        <f t="shared" si="43"/>
        <v>26.33380933521925</v>
      </c>
      <c r="Y117" s="220">
        <f t="shared" si="35"/>
        <v>1</v>
      </c>
      <c r="Z117" s="60"/>
      <c r="AA117" s="4"/>
    </row>
    <row r="118" spans="1:27" ht="15.75" customHeight="1">
      <c r="A118" s="56"/>
      <c r="B118" s="62"/>
      <c r="C118" s="5"/>
      <c r="D118" s="4"/>
      <c r="G118" s="4"/>
      <c r="H118" s="135"/>
      <c r="I118" s="56"/>
      <c r="J118" s="128">
        <f t="shared" si="44"/>
        <v>0.4232673267326736</v>
      </c>
      <c r="K118" s="129">
        <f t="shared" si="36"/>
        <v>4.76900584795321</v>
      </c>
      <c r="L118" s="130">
        <f t="shared" si="37"/>
        <v>-3.5</v>
      </c>
      <c r="M118" s="6">
        <f t="shared" si="38"/>
        <v>22.856435643564375</v>
      </c>
      <c r="N118" s="6">
        <f t="shared" si="39"/>
        <v>13.060820367751072</v>
      </c>
      <c r="O118" s="6">
        <f t="shared" si="33"/>
        <v>9.795615275813303</v>
      </c>
      <c r="P118" s="130">
        <f t="shared" si="46"/>
        <v>0.8095238095238095</v>
      </c>
      <c r="Q118" s="6">
        <f t="shared" si="40"/>
        <v>1258.192362093353</v>
      </c>
      <c r="R118" s="130">
        <f t="shared" si="47"/>
        <v>13.348926699392637</v>
      </c>
      <c r="S118" s="130">
        <f t="shared" si="41"/>
        <v>0.8239350195523752</v>
      </c>
      <c r="T118" s="140">
        <f t="shared" si="48"/>
        <v>44.49249105582826</v>
      </c>
      <c r="U118" s="143">
        <f t="shared" si="34"/>
        <v>43.47826086956522</v>
      </c>
      <c r="V118" s="6">
        <f t="shared" si="45"/>
        <v>559.8011241694994</v>
      </c>
      <c r="W118" s="6">
        <f t="shared" si="42"/>
        <v>1158.192362093353</v>
      </c>
      <c r="X118" s="6">
        <f t="shared" si="43"/>
        <v>26.63842432814712</v>
      </c>
      <c r="Y118" s="220">
        <f t="shared" si="35"/>
        <v>1</v>
      </c>
      <c r="Z118" s="60"/>
      <c r="AA118" s="4"/>
    </row>
    <row r="119" spans="1:27" ht="15.75" customHeight="1">
      <c r="A119" s="56"/>
      <c r="B119" s="62" t="s">
        <v>28</v>
      </c>
      <c r="C119" s="5"/>
      <c r="D119" s="4"/>
      <c r="E119" s="5" t="s">
        <v>28</v>
      </c>
      <c r="F119" s="5"/>
      <c r="G119" s="4"/>
      <c r="H119" s="135"/>
      <c r="I119" s="56"/>
      <c r="J119" s="128">
        <f t="shared" si="44"/>
        <v>0.42772277227722805</v>
      </c>
      <c r="K119" s="129">
        <f t="shared" si="36"/>
        <v>4.682870370370364</v>
      </c>
      <c r="L119" s="130">
        <f t="shared" si="37"/>
        <v>-3.5</v>
      </c>
      <c r="M119" s="6">
        <f t="shared" si="38"/>
        <v>23.097029702970314</v>
      </c>
      <c r="N119" s="6">
        <f t="shared" si="39"/>
        <v>13.198302687411609</v>
      </c>
      <c r="O119" s="6">
        <f t="shared" si="33"/>
        <v>9.898727015558705</v>
      </c>
      <c r="P119" s="130">
        <f t="shared" si="46"/>
        <v>0.8095238095238095</v>
      </c>
      <c r="Q119" s="6">
        <f t="shared" si="40"/>
        <v>1271.4364922206514</v>
      </c>
      <c r="R119" s="130">
        <f t="shared" si="47"/>
        <v>13.489441717280982</v>
      </c>
      <c r="S119" s="130">
        <f t="shared" si="41"/>
        <v>0.822081703968716</v>
      </c>
      <c r="T119" s="140">
        <f t="shared" si="48"/>
        <v>44.392412014310665</v>
      </c>
      <c r="U119" s="143">
        <f t="shared" si="34"/>
        <v>43.47826086956522</v>
      </c>
      <c r="V119" s="6">
        <f t="shared" si="45"/>
        <v>564.4213261268906</v>
      </c>
      <c r="W119" s="6">
        <f t="shared" si="42"/>
        <v>1171.4364922206514</v>
      </c>
      <c r="X119" s="6">
        <f t="shared" si="43"/>
        <v>26.94303932107498</v>
      </c>
      <c r="Y119" s="220">
        <f t="shared" si="35"/>
        <v>1</v>
      </c>
      <c r="Z119" s="60"/>
      <c r="AA119" s="4"/>
    </row>
    <row r="120" spans="1:27" ht="15.75" customHeight="1">
      <c r="A120" s="56"/>
      <c r="B120" s="157">
        <v>-3</v>
      </c>
      <c r="C120" s="158">
        <f>-K4/2</f>
        <v>-30</v>
      </c>
      <c r="D120" s="4"/>
      <c r="E120" s="157">
        <f>MIN(E110,E116)</f>
        <v>-556.253465346535</v>
      </c>
      <c r="F120" s="158">
        <f>-K4/2</f>
        <v>-30</v>
      </c>
      <c r="G120" s="4"/>
      <c r="H120" s="135"/>
      <c r="I120" s="56"/>
      <c r="J120" s="128">
        <f t="shared" si="44"/>
        <v>0.4321782178217825</v>
      </c>
      <c r="K120" s="129">
        <f t="shared" si="36"/>
        <v>4.59851088201603</v>
      </c>
      <c r="L120" s="130">
        <f t="shared" si="37"/>
        <v>-3.5</v>
      </c>
      <c r="M120" s="6">
        <f t="shared" si="38"/>
        <v>23.337623762376257</v>
      </c>
      <c r="N120" s="6">
        <f t="shared" si="39"/>
        <v>13.335785007072145</v>
      </c>
      <c r="O120" s="6">
        <f t="shared" si="33"/>
        <v>10.001838755304112</v>
      </c>
      <c r="P120" s="130">
        <f t="shared" si="46"/>
        <v>0.8095238095238095</v>
      </c>
      <c r="Q120" s="6">
        <f t="shared" si="40"/>
        <v>1284.68062234795</v>
      </c>
      <c r="R120" s="130">
        <f t="shared" si="47"/>
        <v>13.629956735169328</v>
      </c>
      <c r="S120" s="130">
        <f t="shared" si="41"/>
        <v>0.8202283883850569</v>
      </c>
      <c r="T120" s="140">
        <f t="shared" si="48"/>
        <v>44.29233297279307</v>
      </c>
      <c r="U120" s="143">
        <f t="shared" si="34"/>
        <v>43.47826086956522</v>
      </c>
      <c r="V120" s="6">
        <f t="shared" si="45"/>
        <v>569.0150188873042</v>
      </c>
      <c r="W120" s="6">
        <f t="shared" si="42"/>
        <v>1184.68062234795</v>
      </c>
      <c r="X120" s="6">
        <f t="shared" si="43"/>
        <v>27.24765431400285</v>
      </c>
      <c r="Y120" s="220">
        <f t="shared" si="35"/>
        <v>1</v>
      </c>
      <c r="Z120" s="60"/>
      <c r="AA120" s="4"/>
    </row>
    <row r="121" spans="1:27" ht="15.75" customHeight="1">
      <c r="A121" s="56"/>
      <c r="B121" s="168">
        <v>0</v>
      </c>
      <c r="C121" s="169">
        <f>C120</f>
        <v>-30</v>
      </c>
      <c r="D121" s="4"/>
      <c r="E121" s="168">
        <v>0</v>
      </c>
      <c r="F121" s="169">
        <f>F120</f>
        <v>-30</v>
      </c>
      <c r="G121" s="4"/>
      <c r="H121" s="135"/>
      <c r="I121" s="56"/>
      <c r="J121" s="128">
        <f t="shared" si="44"/>
        <v>0.43663366336633697</v>
      </c>
      <c r="K121" s="129">
        <f t="shared" si="36"/>
        <v>4.51587301587301</v>
      </c>
      <c r="L121" s="130">
        <f t="shared" si="37"/>
        <v>-3.5</v>
      </c>
      <c r="M121" s="6">
        <f t="shared" si="38"/>
        <v>23.578217821782196</v>
      </c>
      <c r="N121" s="6">
        <f t="shared" si="39"/>
        <v>13.473267326732685</v>
      </c>
      <c r="O121" s="6">
        <f t="shared" si="33"/>
        <v>10.104950495049511</v>
      </c>
      <c r="P121" s="130">
        <f t="shared" si="46"/>
        <v>0.8095238095238095</v>
      </c>
      <c r="Q121" s="6">
        <f t="shared" si="40"/>
        <v>1297.9247524752486</v>
      </c>
      <c r="R121" s="130">
        <f t="shared" si="47"/>
        <v>13.77047175305767</v>
      </c>
      <c r="S121" s="130">
        <f t="shared" si="41"/>
        <v>0.8183750728013977</v>
      </c>
      <c r="T121" s="140">
        <f t="shared" si="48"/>
        <v>44.192253931275474</v>
      </c>
      <c r="U121" s="143">
        <f t="shared" si="34"/>
        <v>43.47826086956522</v>
      </c>
      <c r="V121" s="6">
        <f t="shared" si="45"/>
        <v>573.5822024507405</v>
      </c>
      <c r="W121" s="6">
        <f t="shared" si="42"/>
        <v>1197.9247524752486</v>
      </c>
      <c r="X121" s="6">
        <f t="shared" si="43"/>
        <v>27.552269306930718</v>
      </c>
      <c r="Y121" s="220">
        <f t="shared" si="35"/>
        <v>1</v>
      </c>
      <c r="Z121" s="60"/>
      <c r="AA121" s="4"/>
    </row>
    <row r="122" spans="1:27" ht="15.75" customHeight="1">
      <c r="A122" s="56"/>
      <c r="B122" s="168">
        <v>0</v>
      </c>
      <c r="C122" s="169">
        <f>-C121</f>
        <v>30</v>
      </c>
      <c r="D122" s="4"/>
      <c r="E122" s="168">
        <v>0</v>
      </c>
      <c r="F122" s="169">
        <f>-F121</f>
        <v>30</v>
      </c>
      <c r="G122" s="4"/>
      <c r="H122" s="135"/>
      <c r="I122" s="56"/>
      <c r="J122" s="128">
        <f t="shared" si="44"/>
        <v>0.4410891089108914</v>
      </c>
      <c r="K122" s="129">
        <f t="shared" si="36"/>
        <v>4.434904601571262</v>
      </c>
      <c r="L122" s="130">
        <f t="shared" si="37"/>
        <v>-3.5</v>
      </c>
      <c r="M122" s="6">
        <f t="shared" si="38"/>
        <v>23.818811881188136</v>
      </c>
      <c r="N122" s="6">
        <f t="shared" si="39"/>
        <v>13.610749646393222</v>
      </c>
      <c r="O122" s="6">
        <f t="shared" si="33"/>
        <v>10.208062234794914</v>
      </c>
      <c r="P122" s="130">
        <f t="shared" si="46"/>
        <v>0.8095238095238095</v>
      </c>
      <c r="Q122" s="6">
        <f t="shared" si="40"/>
        <v>1311.168882602547</v>
      </c>
      <c r="R122" s="130">
        <f t="shared" si="47"/>
        <v>13.910986770946014</v>
      </c>
      <c r="S122" s="130">
        <f t="shared" si="41"/>
        <v>0.8165217572177385</v>
      </c>
      <c r="T122" s="140">
        <f t="shared" si="48"/>
        <v>44.09217488975788</v>
      </c>
      <c r="U122" s="143">
        <f t="shared" si="34"/>
        <v>43.47826086956522</v>
      </c>
      <c r="V122" s="6">
        <f t="shared" si="45"/>
        <v>578.1228768171992</v>
      </c>
      <c r="W122" s="6">
        <f t="shared" si="42"/>
        <v>1211.168882602547</v>
      </c>
      <c r="X122" s="6">
        <f t="shared" si="43"/>
        <v>27.85688429985858</v>
      </c>
      <c r="Y122" s="220">
        <f t="shared" si="35"/>
        <v>1</v>
      </c>
      <c r="Z122" s="60"/>
      <c r="AA122" s="4"/>
    </row>
    <row r="123" spans="1:27" ht="15.75" customHeight="1">
      <c r="A123" s="56"/>
      <c r="B123" s="159">
        <v>-3</v>
      </c>
      <c r="C123" s="170">
        <f>C122</f>
        <v>30</v>
      </c>
      <c r="D123" s="4"/>
      <c r="E123" s="159">
        <f>E120</f>
        <v>-556.253465346535</v>
      </c>
      <c r="F123" s="170">
        <f>F122</f>
        <v>30</v>
      </c>
      <c r="G123" s="4"/>
      <c r="H123" s="135"/>
      <c r="I123" s="56"/>
      <c r="J123" s="128">
        <f t="shared" si="44"/>
        <v>0.4455445544554459</v>
      </c>
      <c r="K123" s="129">
        <f t="shared" si="36"/>
        <v>4.355555555555549</v>
      </c>
      <c r="L123" s="130">
        <f t="shared" si="37"/>
        <v>-3.5</v>
      </c>
      <c r="M123" s="6">
        <f t="shared" si="38"/>
        <v>24.05940594059408</v>
      </c>
      <c r="N123" s="6">
        <f t="shared" si="39"/>
        <v>13.74823196605376</v>
      </c>
      <c r="O123" s="6">
        <f t="shared" si="33"/>
        <v>10.311173974540319</v>
      </c>
      <c r="P123" s="130">
        <f t="shared" si="46"/>
        <v>0.8095238095238095</v>
      </c>
      <c r="Q123" s="6">
        <f t="shared" si="40"/>
        <v>1324.4130127298454</v>
      </c>
      <c r="R123" s="130">
        <f t="shared" si="47"/>
        <v>14.051501788834354</v>
      </c>
      <c r="S123" s="130">
        <f t="shared" si="41"/>
        <v>0.8146684416340791</v>
      </c>
      <c r="T123" s="140">
        <f t="shared" si="48"/>
        <v>43.992095848240275</v>
      </c>
      <c r="U123" s="143">
        <f t="shared" si="34"/>
        <v>43.47826086956522</v>
      </c>
      <c r="V123" s="6">
        <f t="shared" si="45"/>
        <v>582.6370419866803</v>
      </c>
      <c r="W123" s="6">
        <f t="shared" si="42"/>
        <v>1224.4130127298454</v>
      </c>
      <c r="X123" s="6">
        <f t="shared" si="43"/>
        <v>28.16149929278644</v>
      </c>
      <c r="Y123" s="220">
        <f t="shared" si="35"/>
        <v>1</v>
      </c>
      <c r="Z123" s="60"/>
      <c r="AA123" s="4"/>
    </row>
    <row r="124" spans="1:27" ht="15.75" customHeight="1" thickBot="1">
      <c r="A124" s="56"/>
      <c r="B124" s="99"/>
      <c r="C124" s="92"/>
      <c r="D124" s="92"/>
      <c r="E124" s="92"/>
      <c r="F124" s="92"/>
      <c r="G124" s="92"/>
      <c r="H124" s="138"/>
      <c r="I124" s="56"/>
      <c r="J124" s="221">
        <f t="shared" si="44"/>
        <v>0.45000000000000034</v>
      </c>
      <c r="K124" s="131">
        <f t="shared" si="36"/>
        <v>4.2777777777777715</v>
      </c>
      <c r="L124" s="132">
        <f t="shared" si="37"/>
        <v>-3.5</v>
      </c>
      <c r="M124" s="133">
        <f t="shared" si="38"/>
        <v>24.30000000000002</v>
      </c>
      <c r="N124" s="141">
        <f>$D$58/L124*M124</f>
        <v>13.885714285714295</v>
      </c>
      <c r="O124" s="133">
        <f>IF(M124&gt;N124,M124-N124,0)</f>
        <v>10.414285714285723</v>
      </c>
      <c r="P124" s="132">
        <f t="shared" si="46"/>
        <v>0.8095238095238095</v>
      </c>
      <c r="Q124" s="133">
        <f t="shared" si="40"/>
        <v>1337.6571428571438</v>
      </c>
      <c r="R124" s="132">
        <f t="shared" si="47"/>
        <v>14.1920168067227</v>
      </c>
      <c r="S124" s="132">
        <f t="shared" si="41"/>
        <v>0.81281512605042</v>
      </c>
      <c r="T124" s="142">
        <f t="shared" si="48"/>
        <v>43.89201680672268</v>
      </c>
      <c r="U124" s="144">
        <f t="shared" si="34"/>
        <v>43.47826086956522</v>
      </c>
      <c r="V124" s="133">
        <f t="shared" si="45"/>
        <v>587.124697959184</v>
      </c>
      <c r="W124" s="133">
        <f t="shared" si="42"/>
        <v>1237.6571428571438</v>
      </c>
      <c r="X124" s="208">
        <f t="shared" si="43"/>
        <v>28.466114285714305</v>
      </c>
      <c r="Y124" s="222">
        <v>1</v>
      </c>
      <c r="Z124" s="60"/>
      <c r="AA124" s="4"/>
    </row>
    <row r="125" spans="1:27" ht="15.75" customHeight="1" thickBo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60"/>
      <c r="AA125" s="4"/>
    </row>
    <row r="126" spans="1:26" ht="15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211" t="s">
        <v>173</v>
      </c>
      <c r="V126" s="212"/>
      <c r="W126" s="212"/>
      <c r="X126" s="213"/>
      <c r="Y126" s="56"/>
      <c r="Z126" s="60"/>
    </row>
    <row r="127" spans="1:26" ht="15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214" t="s">
        <v>174</v>
      </c>
      <c r="V127" s="96">
        <f>V124</f>
        <v>587.124697959184</v>
      </c>
      <c r="W127" s="4" t="s">
        <v>1</v>
      </c>
      <c r="X127" s="135"/>
      <c r="Y127" s="56"/>
      <c r="Z127" s="60"/>
    </row>
    <row r="128" spans="1:26" ht="15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214" t="s">
        <v>175</v>
      </c>
      <c r="V128" s="96">
        <f>T124</f>
        <v>43.89201680672268</v>
      </c>
      <c r="W128" s="4" t="s">
        <v>176</v>
      </c>
      <c r="X128" s="135"/>
      <c r="Y128" s="56"/>
      <c r="Z128" s="60"/>
    </row>
    <row r="129" spans="1:26" ht="15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214" t="s">
        <v>177</v>
      </c>
      <c r="V129" s="96">
        <f>M124</f>
        <v>24.30000000000002</v>
      </c>
      <c r="W129" s="4" t="s">
        <v>176</v>
      </c>
      <c r="X129" s="135"/>
      <c r="Y129" s="56"/>
      <c r="Z129" s="60"/>
    </row>
    <row r="130" spans="1:26" ht="15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215" t="s">
        <v>190</v>
      </c>
      <c r="V130" s="96">
        <f>K12-V127</f>
        <v>-313.124697959184</v>
      </c>
      <c r="W130" s="4" t="s">
        <v>1</v>
      </c>
      <c r="X130" s="135"/>
      <c r="Y130" s="56"/>
      <c r="Z130" s="60"/>
    </row>
    <row r="131" spans="1:26" ht="15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80" t="s">
        <v>178</v>
      </c>
      <c r="V131" s="4"/>
      <c r="W131" s="4"/>
      <c r="X131" s="135"/>
      <c r="Y131" s="56"/>
      <c r="Z131" s="60"/>
    </row>
    <row r="132" spans="1:26" ht="15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134" t="str">
        <f>IF(V130&lt;0,"Nein =","Ja =")</f>
        <v>Nein =</v>
      </c>
      <c r="V132" s="216">
        <f>IF(V130&lt;0,0,1)</f>
        <v>0</v>
      </c>
      <c r="W132" s="4"/>
      <c r="X132" s="135"/>
      <c r="Y132" s="56"/>
      <c r="Z132" s="60"/>
    </row>
    <row r="133" spans="1:26" ht="15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134" t="s">
        <v>179</v>
      </c>
      <c r="V133" s="96">
        <f>M6-M7</f>
        <v>49</v>
      </c>
      <c r="W133" s="4" t="s">
        <v>176</v>
      </c>
      <c r="X133" s="135"/>
      <c r="Y133" s="56"/>
      <c r="Z133" s="60"/>
    </row>
    <row r="134" spans="1:26" ht="15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215" t="s">
        <v>191</v>
      </c>
      <c r="V134" s="96">
        <f>V132*V130/V133*100</f>
        <v>0</v>
      </c>
      <c r="W134" s="4" t="s">
        <v>0</v>
      </c>
      <c r="X134" s="135" t="s">
        <v>180</v>
      </c>
      <c r="Y134" s="56"/>
      <c r="Z134" s="60"/>
    </row>
    <row r="135" spans="1:26" ht="15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215" t="s">
        <v>192</v>
      </c>
      <c r="V135" s="96">
        <f>-V134</f>
        <v>0</v>
      </c>
      <c r="W135" s="4" t="s">
        <v>0</v>
      </c>
      <c r="X135" s="135" t="s">
        <v>181</v>
      </c>
      <c r="Y135" s="56"/>
      <c r="Z135" s="60"/>
    </row>
    <row r="136" spans="1:26" ht="15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214" t="s">
        <v>154</v>
      </c>
      <c r="V136" s="96">
        <f>K124</f>
        <v>4.2777777777777715</v>
      </c>
      <c r="W136" s="4" t="s">
        <v>19</v>
      </c>
      <c r="X136" s="135" t="s">
        <v>182</v>
      </c>
      <c r="Y136" s="56"/>
      <c r="Z136" s="60"/>
    </row>
    <row r="137" spans="1:26" ht="15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214" t="s">
        <v>167</v>
      </c>
      <c r="V137" s="96">
        <f>V133/M4*(L124-K124)+K124</f>
        <v>-2.779835390946503</v>
      </c>
      <c r="W137" s="4" t="s">
        <v>19</v>
      </c>
      <c r="X137" s="135" t="s">
        <v>183</v>
      </c>
      <c r="Y137" s="56"/>
      <c r="Z137" s="60"/>
    </row>
    <row r="138" spans="1:26" ht="15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214" t="s">
        <v>184</v>
      </c>
      <c r="V138" s="96">
        <f>U124</f>
        <v>43.47826086956522</v>
      </c>
      <c r="W138" s="4" t="s">
        <v>18</v>
      </c>
      <c r="X138" s="135" t="s">
        <v>185</v>
      </c>
      <c r="Y138" s="56"/>
      <c r="Z138" s="60"/>
    </row>
    <row r="139" spans="1:26" ht="15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214" t="s">
        <v>186</v>
      </c>
      <c r="V139" s="126">
        <f>-IF(-V137&lt;$H$15*1000,-V137/$H$15/1000*$E$15,$E$15+($F$15-$E$15)/($H$13-$H$15)*(-V137/1000-$H$15))</f>
        <v>-43.47826086956522</v>
      </c>
      <c r="W139" s="4" t="s">
        <v>18</v>
      </c>
      <c r="X139" s="135" t="s">
        <v>187</v>
      </c>
      <c r="Y139" s="56"/>
      <c r="Z139" s="60"/>
    </row>
    <row r="140" spans="1:26" ht="15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215" t="s">
        <v>193</v>
      </c>
      <c r="V140" s="96">
        <f>V134/V138</f>
        <v>0</v>
      </c>
      <c r="W140" s="4" t="s">
        <v>2</v>
      </c>
      <c r="X140" s="135" t="s">
        <v>188</v>
      </c>
      <c r="Y140" s="56"/>
      <c r="Z140" s="60"/>
    </row>
    <row r="141" spans="1:26" ht="15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215" t="s">
        <v>194</v>
      </c>
      <c r="V141" s="96">
        <f>V135/V139</f>
        <v>0</v>
      </c>
      <c r="W141" s="4" t="s">
        <v>2</v>
      </c>
      <c r="X141" s="135" t="s">
        <v>189</v>
      </c>
      <c r="Y141" s="56"/>
      <c r="Z141" s="60"/>
    </row>
    <row r="142" spans="1:26" ht="15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62"/>
      <c r="V142" s="4"/>
      <c r="W142" s="4"/>
      <c r="X142" s="71"/>
      <c r="Y142" s="56"/>
      <c r="Z142" s="60"/>
    </row>
    <row r="143" spans="1:26" ht="15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214" t="s">
        <v>140</v>
      </c>
      <c r="V143" s="96">
        <f>V140+X21</f>
        <v>10.493829702970304</v>
      </c>
      <c r="W143" s="4" t="s">
        <v>2</v>
      </c>
      <c r="X143" s="135" t="s">
        <v>188</v>
      </c>
      <c r="Y143" s="56"/>
      <c r="Z143" s="60"/>
    </row>
    <row r="144" spans="1:26" ht="15.75" customHeight="1" thickBo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217" t="s">
        <v>141</v>
      </c>
      <c r="V144" s="197">
        <f>V141</f>
        <v>0</v>
      </c>
      <c r="W144" s="92" t="s">
        <v>2</v>
      </c>
      <c r="X144" s="138" t="s">
        <v>189</v>
      </c>
      <c r="Y144" s="56"/>
      <c r="Z144" s="60"/>
    </row>
    <row r="145" spans="1:26" ht="15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60"/>
    </row>
  </sheetData>
  <sheetProtection/>
  <mergeCells count="2">
    <mergeCell ref="B11:D11"/>
    <mergeCell ref="B10:D10"/>
  </mergeCells>
  <conditionalFormatting sqref="N23:N124">
    <cfRule type="cellIs" priority="1" dxfId="10" operator="greaterThan" stopIfTrue="1">
      <formula>M23</formula>
    </cfRule>
  </conditionalFormatting>
  <conditionalFormatting sqref="H13">
    <cfRule type="cellIs" priority="2" dxfId="1" operator="equal" stopIfTrue="1">
      <formula>0.02</formula>
    </cfRule>
  </conditionalFormatting>
  <conditionalFormatting sqref="R16">
    <cfRule type="cellIs" priority="3" dxfId="0" operator="greaterThan" stopIfTrue="1">
      <formula>$R$17</formula>
    </cfRule>
  </conditionalFormatting>
  <printOptions/>
  <pageMargins left="0.787401575" right="0.787401575" top="0.65" bottom="0.41" header="0.4921259845" footer="0.26"/>
  <pageSetup fitToHeight="7" fitToWidth="2" horizontalDpi="300" verticalDpi="3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Nordostniedersachsen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Biegebemessung</dc:title>
  <dc:subject>Stahlbeton</dc:subject>
  <dc:creator>Dr. Jens Göttsche</dc:creator>
  <cp:keywords>Lehrmodul</cp:keywords>
  <dc:description>Interaktive Arbeitsblätter zur Biegebemessung von Stahlbeton-Rechteckquerschnitten</dc:description>
  <cp:lastModifiedBy>Goettsche</cp:lastModifiedBy>
  <cp:lastPrinted>2002-04-17T18:49:49Z</cp:lastPrinted>
  <dcterms:created xsi:type="dcterms:W3CDTF">1998-03-11T08:09:12Z</dcterms:created>
  <dcterms:modified xsi:type="dcterms:W3CDTF">2013-04-13T15:53:46Z</dcterms:modified>
  <cp:category>Lehre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